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rescqipp-my.sharepoint.com/personal/karen_prescqipp_info/Documents/Documents/work files/Karen's Documents/Work/PrescQIPP/Inhaler carbon footprint 2025/Finals post publication/"/>
    </mc:Choice>
  </mc:AlternateContent>
  <xr:revisionPtr revIDLastSave="131" documentId="8_{8FC6D8A5-D89B-48C0-B81A-423A0392C688}" xr6:coauthVersionLast="47" xr6:coauthVersionMax="47" xr10:uidLastSave="{D1393864-0C6D-4C25-A69C-38EEA45DAB0F}"/>
  <bookViews>
    <workbookView xWindow="-19310" yWindow="-110" windowWidth="19420" windowHeight="10300" activeTab="1" xr2:uid="{FB0D4C26-EE1D-42CB-BE4E-D4D146BA97B3}"/>
  </bookViews>
  <sheets>
    <sheet name="Methodology" sheetId="10" r:id="rId1"/>
    <sheet name=" Inhaler CF v2.40 full" sheetId="1" r:id="rId2"/>
    <sheet name="Inhaler CF v2.40quick reference" sheetId="12" r:id="rId3"/>
    <sheet name="Propellant weight + AR Calcs" sheetId="13" r:id="rId4"/>
    <sheet name="Non-asthma or COPD inhalers" sheetId="5" r:id="rId5"/>
    <sheet name="Additional information" sheetId="2" r:id="rId6"/>
    <sheet name="References" sheetId="3" r:id="rId7"/>
    <sheet name="Changes log" sheetId="6" r:id="rId8"/>
    <sheet name="ICF value histogram" sheetId="9" r:id="rId9"/>
  </sheets>
  <definedNames>
    <definedName name="_xlnm._FilterDatabase" localSheetId="1" hidden="1">' Inhaler CF v2.40 full'!$A$1:$AM$159</definedName>
    <definedName name="_xlnm._FilterDatabase" localSheetId="4" hidden="1">'Non-asthma or COPD inhalers'!$A$1:$O$11</definedName>
    <definedName name="_xlchart.v1.0" hidden="1">' Inhaler CF v2.40 full'!$A$2:$A$159</definedName>
    <definedName name="_xlchart.v1.1" hidden="1">' Inhaler CF v2.40 full'!$AD$1</definedName>
    <definedName name="_xlchart.v1.2" hidden="1">' Inhaler CF v2.40 full'!$AD$2:$AD$159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3" l="1"/>
  <c r="E19" i="13"/>
  <c r="D19" i="13"/>
  <c r="D158" i="12"/>
  <c r="D150" i="12"/>
  <c r="D140" i="12"/>
  <c r="D138" i="12"/>
  <c r="D106" i="12"/>
  <c r="D101" i="12"/>
  <c r="D100" i="12"/>
  <c r="D99" i="12"/>
  <c r="D98" i="12"/>
  <c r="D97" i="12"/>
  <c r="D83" i="12"/>
  <c r="D71" i="12"/>
  <c r="D70" i="12"/>
  <c r="D69" i="12"/>
  <c r="D26" i="12"/>
  <c r="D25" i="12"/>
  <c r="D23" i="12"/>
  <c r="D22" i="12"/>
  <c r="D19" i="12"/>
  <c r="D8" i="12"/>
  <c r="D7" i="12"/>
  <c r="AD19" i="1"/>
  <c r="AQ19" i="1"/>
  <c r="I19" i="1"/>
  <c r="AJ19" i="1"/>
  <c r="AJ3" i="1"/>
  <c r="AJ4" i="1"/>
  <c r="AJ14" i="1"/>
  <c r="AJ15" i="1"/>
  <c r="AJ16" i="1"/>
  <c r="AJ17" i="1"/>
  <c r="AJ18" i="1"/>
  <c r="AJ30" i="1"/>
  <c r="AJ31" i="1"/>
  <c r="AJ32" i="1"/>
  <c r="AJ33" i="1"/>
  <c r="AJ34" i="1"/>
  <c r="AJ35" i="1"/>
  <c r="AJ36" i="1"/>
  <c r="AJ46" i="1"/>
  <c r="AJ47" i="1"/>
  <c r="AJ48" i="1"/>
  <c r="AJ49" i="1"/>
  <c r="AJ50" i="1"/>
  <c r="AJ51" i="1"/>
  <c r="AJ52" i="1"/>
  <c r="AJ53" i="1"/>
  <c r="AJ54" i="1"/>
  <c r="AJ55" i="1"/>
  <c r="AJ56" i="1"/>
  <c r="AJ57" i="1"/>
  <c r="AJ58" i="1"/>
  <c r="AJ59" i="1"/>
  <c r="AJ60" i="1"/>
  <c r="AJ61" i="1"/>
  <c r="AJ62" i="1"/>
  <c r="AJ63" i="1"/>
  <c r="AJ64" i="1"/>
  <c r="AJ65" i="1"/>
  <c r="AJ72" i="1"/>
  <c r="AJ73" i="1"/>
  <c r="AJ74" i="1"/>
  <c r="AJ75" i="1"/>
  <c r="AJ78" i="1"/>
  <c r="AJ79" i="1"/>
  <c r="AJ80" i="1"/>
  <c r="AJ81" i="1"/>
  <c r="AJ82" i="1"/>
  <c r="AJ88" i="1"/>
  <c r="AJ89" i="1"/>
  <c r="AJ90" i="1"/>
  <c r="AJ91" i="1"/>
  <c r="AJ94" i="1"/>
  <c r="AJ95" i="1"/>
  <c r="AJ96" i="1"/>
  <c r="AJ103" i="1"/>
  <c r="AJ104" i="1"/>
  <c r="AJ107" i="1"/>
  <c r="AJ108" i="1"/>
  <c r="AJ109" i="1"/>
  <c r="AJ112" i="1"/>
  <c r="AJ113" i="1"/>
  <c r="AJ114" i="1"/>
  <c r="AJ115" i="1"/>
  <c r="AJ116" i="1"/>
  <c r="AJ120" i="1"/>
  <c r="AJ129" i="1"/>
  <c r="AJ130" i="1"/>
  <c r="AJ131" i="1"/>
  <c r="AJ132" i="1"/>
  <c r="AJ133" i="1"/>
  <c r="AJ134" i="1"/>
  <c r="AJ135" i="1"/>
  <c r="AJ136" i="1"/>
  <c r="AJ137" i="1"/>
  <c r="AJ139" i="1"/>
  <c r="AJ141" i="1"/>
  <c r="AJ142" i="1"/>
  <c r="AJ143" i="1"/>
  <c r="AJ144" i="1"/>
  <c r="AJ145" i="1"/>
  <c r="AJ146" i="1"/>
  <c r="AJ149" i="1"/>
  <c r="AJ151" i="1"/>
  <c r="AJ152" i="1"/>
  <c r="AJ153" i="1"/>
  <c r="AJ154" i="1"/>
  <c r="AJ159" i="1"/>
  <c r="AJ2" i="1"/>
  <c r="D1" i="12" l="1"/>
  <c r="AD7" i="1"/>
  <c r="AJ7" i="1" s="1"/>
  <c r="BS7" i="1"/>
  <c r="BR7" i="1"/>
  <c r="I7" i="1"/>
  <c r="BR22" i="1" l="1"/>
  <c r="BR23" i="1"/>
  <c r="BR24" i="1"/>
  <c r="C1" i="12" l="1"/>
  <c r="AQ5" i="1"/>
  <c r="D5" i="12" s="1"/>
  <c r="B1" i="12"/>
  <c r="AD158" i="1"/>
  <c r="AJ158" i="1" s="1"/>
  <c r="BR3" i="1" l="1"/>
  <c r="BS155" i="1" l="1"/>
  <c r="BS153" i="1"/>
  <c r="BS150" i="1"/>
  <c r="BS145" i="1"/>
  <c r="BS144" i="1"/>
  <c r="BS143" i="1"/>
  <c r="BS140" i="1"/>
  <c r="BS138" i="1"/>
  <c r="BS135" i="1"/>
  <c r="BS124" i="1"/>
  <c r="BS123" i="1"/>
  <c r="BS122" i="1"/>
  <c r="BS121" i="1"/>
  <c r="BS119" i="1"/>
  <c r="BS118" i="1"/>
  <c r="BS117" i="1"/>
  <c r="BS111" i="1"/>
  <c r="BS110" i="1"/>
  <c r="BS109" i="1"/>
  <c r="BS108" i="1"/>
  <c r="BS107" i="1"/>
  <c r="BS106" i="1"/>
  <c r="BS105" i="1"/>
  <c r="BS102" i="1"/>
  <c r="BS101" i="1"/>
  <c r="BS100" i="1"/>
  <c r="BS99" i="1"/>
  <c r="BS98" i="1"/>
  <c r="BS97" i="1"/>
  <c r="BS90" i="1"/>
  <c r="BS89" i="1"/>
  <c r="BS88" i="1"/>
  <c r="BS85" i="1"/>
  <c r="BS84" i="1"/>
  <c r="BS83" i="1"/>
  <c r="BS81" i="1"/>
  <c r="BS80" i="1"/>
  <c r="BS77" i="1"/>
  <c r="BS76" i="1"/>
  <c r="BS75" i="1"/>
  <c r="BS74" i="1"/>
  <c r="BS73" i="1"/>
  <c r="BS72" i="1"/>
  <c r="BS71" i="1"/>
  <c r="BS70" i="1"/>
  <c r="BS69" i="1"/>
  <c r="BS68" i="1"/>
  <c r="BS67" i="1"/>
  <c r="BS66" i="1"/>
  <c r="BS61" i="1"/>
  <c r="BS60" i="1"/>
  <c r="BS59" i="1"/>
  <c r="BS55" i="1" l="1"/>
  <c r="BS54" i="1"/>
  <c r="BS53" i="1"/>
  <c r="BS52" i="1"/>
  <c r="BS51" i="1"/>
  <c r="BS50" i="1"/>
  <c r="BS49" i="1"/>
  <c r="BS45" i="1"/>
  <c r="BS44" i="1"/>
  <c r="BS43" i="1"/>
  <c r="BS42" i="1"/>
  <c r="BS41" i="1"/>
  <c r="BS40" i="1"/>
  <c r="BS39" i="1"/>
  <c r="BS33" i="1"/>
  <c r="BS32" i="1"/>
  <c r="BS30" i="1"/>
  <c r="BS27" i="1"/>
  <c r="BS21" i="1"/>
  <c r="BS20" i="1"/>
  <c r="BS18" i="1"/>
  <c r="BS17" i="1"/>
  <c r="BS16" i="1"/>
  <c r="BS15" i="1"/>
  <c r="BS14" i="1"/>
  <c r="BS13" i="1"/>
  <c r="BS12" i="1"/>
  <c r="BS11" i="1"/>
  <c r="BS10" i="1"/>
  <c r="BS8" i="1"/>
  <c r="BS6" i="1"/>
  <c r="BS5" i="1"/>
  <c r="BS4" i="1"/>
  <c r="BR4" i="1"/>
  <c r="BR5" i="1"/>
  <c r="BR6" i="1"/>
  <c r="BR8" i="1"/>
  <c r="BR10" i="1"/>
  <c r="BR11" i="1"/>
  <c r="BR12" i="1"/>
  <c r="BR13" i="1"/>
  <c r="BR14" i="1"/>
  <c r="BR15" i="1"/>
  <c r="BR16" i="1"/>
  <c r="BR17" i="1"/>
  <c r="BR18" i="1"/>
  <c r="BR20" i="1"/>
  <c r="BR21" i="1"/>
  <c r="BR25" i="1"/>
  <c r="BR26" i="1"/>
  <c r="BR27" i="1"/>
  <c r="BR28" i="1"/>
  <c r="BR29" i="1"/>
  <c r="BR30" i="1"/>
  <c r="BR31" i="1"/>
  <c r="BR32" i="1"/>
  <c r="BR33" i="1"/>
  <c r="BR37" i="1"/>
  <c r="BR38" i="1"/>
  <c r="BR39" i="1"/>
  <c r="BR40" i="1"/>
  <c r="BR41" i="1"/>
  <c r="BR42" i="1"/>
  <c r="BR43" i="1"/>
  <c r="BR44" i="1"/>
  <c r="BR45" i="1"/>
  <c r="BR46" i="1"/>
  <c r="BR47" i="1"/>
  <c r="BR48" i="1"/>
  <c r="BR49" i="1"/>
  <c r="BR50" i="1"/>
  <c r="BR51" i="1"/>
  <c r="BR52" i="1"/>
  <c r="BR53" i="1"/>
  <c r="BR54" i="1"/>
  <c r="BR55" i="1"/>
  <c r="BR56" i="1"/>
  <c r="BR57" i="1"/>
  <c r="BR58" i="1"/>
  <c r="BR59" i="1"/>
  <c r="BR60" i="1"/>
  <c r="BR61" i="1"/>
  <c r="BR62" i="1"/>
  <c r="BR63" i="1"/>
  <c r="BR64" i="1"/>
  <c r="BR65" i="1"/>
  <c r="BR66" i="1"/>
  <c r="BR67" i="1"/>
  <c r="BR68" i="1"/>
  <c r="BR69" i="1"/>
  <c r="BR70" i="1"/>
  <c r="BR71" i="1"/>
  <c r="BR72" i="1"/>
  <c r="BR73" i="1"/>
  <c r="BR74" i="1"/>
  <c r="BR75" i="1"/>
  <c r="BR76" i="1"/>
  <c r="BR77" i="1"/>
  <c r="BR78" i="1"/>
  <c r="BR79" i="1"/>
  <c r="BR80" i="1"/>
  <c r="BR81" i="1"/>
  <c r="BR82" i="1"/>
  <c r="BR83" i="1"/>
  <c r="BR84" i="1"/>
  <c r="BR85" i="1"/>
  <c r="BR86" i="1"/>
  <c r="BR87" i="1"/>
  <c r="BR88" i="1"/>
  <c r="BR89" i="1"/>
  <c r="BR90" i="1"/>
  <c r="BR91" i="1"/>
  <c r="BR94" i="1"/>
  <c r="BR95" i="1"/>
  <c r="BR96" i="1"/>
  <c r="BR97" i="1"/>
  <c r="BR98" i="1"/>
  <c r="BR99" i="1"/>
  <c r="BR100" i="1"/>
  <c r="BR101" i="1"/>
  <c r="BR102" i="1"/>
  <c r="BR103" i="1"/>
  <c r="BR104" i="1"/>
  <c r="BR105" i="1"/>
  <c r="BR106" i="1"/>
  <c r="BR107" i="1"/>
  <c r="BR108" i="1"/>
  <c r="BR109" i="1"/>
  <c r="BR110" i="1"/>
  <c r="BR111" i="1"/>
  <c r="BR114" i="1"/>
  <c r="BR115" i="1"/>
  <c r="BR116" i="1"/>
  <c r="BR117" i="1"/>
  <c r="BR118" i="1"/>
  <c r="BR119" i="1"/>
  <c r="BR120" i="1"/>
  <c r="BR121" i="1"/>
  <c r="BR122" i="1"/>
  <c r="BR123" i="1"/>
  <c r="BR124" i="1"/>
  <c r="BR125" i="1"/>
  <c r="BR126" i="1"/>
  <c r="BR127" i="1"/>
  <c r="BR128" i="1"/>
  <c r="BR129" i="1"/>
  <c r="BR130" i="1"/>
  <c r="BR131" i="1"/>
  <c r="BR132" i="1"/>
  <c r="BR133" i="1"/>
  <c r="BR134" i="1"/>
  <c r="BR135" i="1"/>
  <c r="BR136" i="1"/>
  <c r="BR137" i="1"/>
  <c r="BR138" i="1"/>
  <c r="BR139" i="1"/>
  <c r="BR140" i="1"/>
  <c r="BR141" i="1"/>
  <c r="BR142" i="1"/>
  <c r="BR143" i="1"/>
  <c r="BR144" i="1"/>
  <c r="BR145" i="1"/>
  <c r="BR146" i="1"/>
  <c r="BR147" i="1"/>
  <c r="BR148" i="1"/>
  <c r="BR149" i="1"/>
  <c r="BR150" i="1"/>
  <c r="BR153" i="1"/>
  <c r="BR154" i="1"/>
  <c r="BR155" i="1"/>
  <c r="BR156" i="1"/>
  <c r="BR157" i="1"/>
  <c r="BR158" i="1"/>
  <c r="BR159" i="1"/>
  <c r="BR2" i="1"/>
  <c r="BR9" i="1"/>
  <c r="M3" i="5"/>
  <c r="M4" i="5"/>
  <c r="M5" i="5"/>
  <c r="M6" i="5"/>
  <c r="M7" i="5"/>
  <c r="M8" i="5"/>
  <c r="M9" i="5"/>
  <c r="M10" i="5"/>
  <c r="M2" i="5"/>
  <c r="AD140" i="1"/>
  <c r="AJ140" i="1" s="1"/>
  <c r="AD138" i="1"/>
  <c r="AJ138" i="1" s="1"/>
  <c r="AD106" i="1"/>
  <c r="AJ106" i="1" s="1"/>
  <c r="AD101" i="1"/>
  <c r="AJ101" i="1" s="1"/>
  <c r="AD100" i="1"/>
  <c r="AJ100" i="1" s="1"/>
  <c r="AD99" i="1"/>
  <c r="AJ99" i="1" s="1"/>
  <c r="AD98" i="1"/>
  <c r="AJ98" i="1" s="1"/>
  <c r="AD97" i="1"/>
  <c r="AJ97" i="1" s="1"/>
  <c r="AD83" i="1"/>
  <c r="AJ83" i="1" s="1"/>
  <c r="AD71" i="1"/>
  <c r="AJ71" i="1" s="1"/>
  <c r="AD70" i="1"/>
  <c r="AJ70" i="1" s="1"/>
  <c r="AD69" i="1"/>
  <c r="AJ69" i="1" s="1"/>
  <c r="AD26" i="1"/>
  <c r="AJ26" i="1" s="1"/>
  <c r="AD25" i="1"/>
  <c r="AJ25" i="1" s="1"/>
  <c r="AD23" i="1"/>
  <c r="AJ23" i="1" s="1"/>
  <c r="AD22" i="1"/>
  <c r="AJ22" i="1" s="1"/>
  <c r="AD8" i="1"/>
  <c r="AJ8" i="1" s="1"/>
  <c r="BS9" i="1" l="1"/>
  <c r="BS160" i="1" s="1"/>
  <c r="AQ147" i="1" l="1"/>
  <c r="AQ148" i="1"/>
  <c r="AQ6" i="1"/>
  <c r="D6" i="12" s="1"/>
  <c r="AD5" i="1"/>
  <c r="AJ5" i="1" s="1"/>
  <c r="AD148" i="1" l="1"/>
  <c r="AJ148" i="1" s="1"/>
  <c r="D148" i="12"/>
  <c r="AD147" i="1"/>
  <c r="AJ147" i="1" s="1"/>
  <c r="D147" i="12"/>
  <c r="AD6" i="1"/>
  <c r="AJ6" i="1" s="1"/>
  <c r="AQ21" i="1"/>
  <c r="D21" i="12" s="1"/>
  <c r="AQ10" i="1"/>
  <c r="D10" i="12" s="1"/>
  <c r="AQ9" i="1"/>
  <c r="D9" i="12" s="1"/>
  <c r="AQ12" i="1"/>
  <c r="D12" i="12" s="1"/>
  <c r="AQ13" i="1"/>
  <c r="D13" i="12" s="1"/>
  <c r="AQ11" i="1"/>
  <c r="D11" i="12" s="1"/>
  <c r="AQ123" i="1"/>
  <c r="AQ122" i="1"/>
  <c r="AQ126" i="1"/>
  <c r="AQ127" i="1"/>
  <c r="AQ128" i="1"/>
  <c r="AQ125" i="1"/>
  <c r="AQ155" i="1"/>
  <c r="AQ121" i="1"/>
  <c r="AQ117" i="1"/>
  <c r="AQ119" i="1"/>
  <c r="AQ118" i="1"/>
  <c r="AQ68" i="1"/>
  <c r="AQ67" i="1"/>
  <c r="AQ66" i="1"/>
  <c r="AQ93" i="1"/>
  <c r="AQ92" i="1"/>
  <c r="AQ157" i="1"/>
  <c r="AQ156" i="1"/>
  <c r="AQ124" i="1"/>
  <c r="AQ111" i="1"/>
  <c r="AQ110" i="1"/>
  <c r="AQ84" i="1"/>
  <c r="AQ85" i="1"/>
  <c r="AQ29" i="1"/>
  <c r="AQ28" i="1"/>
  <c r="AQ77" i="1"/>
  <c r="AQ76" i="1"/>
  <c r="AQ41" i="1"/>
  <c r="AQ40" i="1"/>
  <c r="AQ39" i="1"/>
  <c r="AQ42" i="1"/>
  <c r="AQ20" i="1"/>
  <c r="AQ150" i="1"/>
  <c r="AD150" i="1" s="1"/>
  <c r="AJ150" i="1" s="1"/>
  <c r="AQ27" i="1"/>
  <c r="AQ44" i="1"/>
  <c r="AQ45" i="1"/>
  <c r="AQ43" i="1"/>
  <c r="AO38" i="1"/>
  <c r="AQ38" i="1" s="1"/>
  <c r="AO37" i="1"/>
  <c r="AQ37" i="1" s="1"/>
  <c r="AQ105" i="1"/>
  <c r="AQ102" i="1"/>
  <c r="AQ87" i="1"/>
  <c r="AQ86" i="1"/>
  <c r="AD37" i="1" l="1"/>
  <c r="AJ37" i="1" s="1"/>
  <c r="D37" i="12"/>
  <c r="AD85" i="1"/>
  <c r="AJ85" i="1" s="1"/>
  <c r="D85" i="12"/>
  <c r="AD155" i="1"/>
  <c r="AJ155" i="1" s="1"/>
  <c r="D155" i="12"/>
  <c r="AD38" i="1"/>
  <c r="AJ38" i="1" s="1"/>
  <c r="D38" i="12"/>
  <c r="AD110" i="1"/>
  <c r="AJ110" i="1" s="1"/>
  <c r="D110" i="12"/>
  <c r="AD45" i="1"/>
  <c r="AJ45" i="1" s="1"/>
  <c r="D45" i="12"/>
  <c r="AD41" i="1"/>
  <c r="AJ41" i="1" s="1"/>
  <c r="D41" i="12"/>
  <c r="AD111" i="1"/>
  <c r="AJ111" i="1" s="1"/>
  <c r="D111" i="12"/>
  <c r="AD68" i="1"/>
  <c r="AJ68" i="1" s="1"/>
  <c r="D68" i="12"/>
  <c r="AD127" i="1"/>
  <c r="AJ127" i="1" s="1"/>
  <c r="D127" i="12"/>
  <c r="AD40" i="1"/>
  <c r="AJ40" i="1" s="1"/>
  <c r="D40" i="12"/>
  <c r="AD67" i="1"/>
  <c r="AJ67" i="1" s="1"/>
  <c r="D67" i="12"/>
  <c r="AD128" i="1"/>
  <c r="AJ128" i="1" s="1"/>
  <c r="D128" i="12"/>
  <c r="AD86" i="1"/>
  <c r="AJ86" i="1" s="1"/>
  <c r="D86" i="12"/>
  <c r="AD44" i="1"/>
  <c r="AJ44" i="1" s="1"/>
  <c r="D44" i="12"/>
  <c r="AD76" i="1"/>
  <c r="AJ76" i="1" s="1"/>
  <c r="D76" i="12"/>
  <c r="AD124" i="1"/>
  <c r="AJ124" i="1" s="1"/>
  <c r="D124" i="12"/>
  <c r="AD118" i="1"/>
  <c r="AJ118" i="1" s="1"/>
  <c r="D118" i="12"/>
  <c r="D24" i="12" s="1"/>
  <c r="AD126" i="1"/>
  <c r="AJ126" i="1" s="1"/>
  <c r="D126" i="12"/>
  <c r="AD93" i="1"/>
  <c r="AJ93" i="1" s="1"/>
  <c r="D93" i="12"/>
  <c r="AD84" i="1"/>
  <c r="AJ84" i="1" s="1"/>
  <c r="D84" i="12"/>
  <c r="AD125" i="1"/>
  <c r="AJ125" i="1" s="1"/>
  <c r="D125" i="12"/>
  <c r="AD87" i="1"/>
  <c r="AJ87" i="1" s="1"/>
  <c r="D87" i="12"/>
  <c r="AD102" i="1"/>
  <c r="AJ102" i="1" s="1"/>
  <c r="D102" i="12"/>
  <c r="AD157" i="1"/>
  <c r="AJ157" i="1" s="1"/>
  <c r="D157" i="12"/>
  <c r="AD123" i="1"/>
  <c r="AJ123" i="1" s="1"/>
  <c r="D123" i="12"/>
  <c r="AD42" i="1"/>
  <c r="AJ42" i="1" s="1"/>
  <c r="D42" i="12"/>
  <c r="AD39" i="1"/>
  <c r="AJ39" i="1" s="1"/>
  <c r="D39" i="12"/>
  <c r="AD66" i="1"/>
  <c r="AJ66" i="1" s="1"/>
  <c r="D66" i="12"/>
  <c r="AD43" i="1"/>
  <c r="AJ43" i="1" s="1"/>
  <c r="D43" i="12"/>
  <c r="AD27" i="1"/>
  <c r="AJ27" i="1" s="1"/>
  <c r="D27" i="12"/>
  <c r="AD77" i="1"/>
  <c r="AJ77" i="1" s="1"/>
  <c r="D77" i="12"/>
  <c r="AD156" i="1"/>
  <c r="AJ156" i="1" s="1"/>
  <c r="D156" i="12"/>
  <c r="AD119" i="1"/>
  <c r="AJ119" i="1" s="1"/>
  <c r="D119" i="12"/>
  <c r="AD122" i="1"/>
  <c r="AJ122" i="1" s="1"/>
  <c r="D122" i="12"/>
  <c r="AD28" i="1"/>
  <c r="AJ28" i="1" s="1"/>
  <c r="D28" i="12"/>
  <c r="AD117" i="1"/>
  <c r="AJ117" i="1" s="1"/>
  <c r="D117" i="12"/>
  <c r="AD105" i="1"/>
  <c r="AJ105" i="1" s="1"/>
  <c r="D105" i="12"/>
  <c r="AD20" i="1"/>
  <c r="AJ20" i="1" s="1"/>
  <c r="D20" i="12"/>
  <c r="AD29" i="1"/>
  <c r="AJ29" i="1" s="1"/>
  <c r="D29" i="12"/>
  <c r="AD92" i="1"/>
  <c r="AJ92" i="1" s="1"/>
  <c r="D92" i="12"/>
  <c r="AD121" i="1"/>
  <c r="AJ121" i="1" s="1"/>
  <c r="D121" i="12"/>
  <c r="AD24" i="1"/>
  <c r="AJ24" i="1" s="1"/>
  <c r="AD11" i="1"/>
  <c r="AJ11" i="1" s="1"/>
  <c r="AD9" i="1"/>
  <c r="AJ9" i="1" s="1"/>
  <c r="AD12" i="1"/>
  <c r="AJ12" i="1" s="1"/>
  <c r="AD10" i="1"/>
  <c r="AJ10" i="1" s="1"/>
  <c r="AD13" i="1"/>
  <c r="AJ13" i="1" s="1"/>
  <c r="AD21" i="1"/>
  <c r="AJ21" i="1" s="1"/>
  <c r="I3" i="1"/>
  <c r="I144" i="1"/>
  <c r="I151" i="1"/>
  <c r="I152" i="1"/>
  <c r="I92" i="1"/>
  <c r="I93" i="1"/>
  <c r="I157" i="1"/>
  <c r="I156" i="1"/>
  <c r="W156" i="1" s="1"/>
  <c r="X92" i="1"/>
  <c r="W92" i="1"/>
  <c r="X156" i="1" l="1"/>
  <c r="I34" i="1"/>
  <c r="I35" i="1"/>
  <c r="I36" i="1"/>
  <c r="I38" i="1" l="1"/>
  <c r="I37" i="1"/>
  <c r="I113" i="1"/>
  <c r="I29" i="1"/>
  <c r="I28" i="1"/>
  <c r="I2" i="1"/>
  <c r="I4" i="1"/>
  <c r="I147" i="1"/>
  <c r="I87" i="1"/>
  <c r="I24" i="1" l="1"/>
  <c r="I22" i="1"/>
  <c r="I23" i="1"/>
  <c r="I112" i="1"/>
  <c r="I159" i="1"/>
  <c r="I158" i="1"/>
  <c r="I130" i="1" l="1"/>
  <c r="I137" i="1" l="1"/>
  <c r="I133" i="1"/>
  <c r="I107" i="1"/>
  <c r="BB132" i="1"/>
  <c r="BC132" i="1"/>
  <c r="BD132" i="1"/>
  <c r="AU132" i="1"/>
  <c r="I132" i="1"/>
  <c r="I149" i="1" l="1"/>
  <c r="I143" i="1"/>
  <c r="I61" i="1"/>
  <c r="I60" i="1"/>
  <c r="I59" i="1"/>
  <c r="I10" i="5"/>
  <c r="I9" i="5"/>
  <c r="I8" i="5"/>
  <c r="I3" i="5"/>
  <c r="I2" i="5"/>
  <c r="I12" i="1"/>
  <c r="I145" i="1"/>
  <c r="I86" i="1"/>
  <c r="BD148" i="1"/>
  <c r="BC148" i="1"/>
  <c r="BB148" i="1"/>
  <c r="BA148" i="1"/>
  <c r="AZ148" i="1"/>
  <c r="AY148" i="1"/>
  <c r="AX148" i="1"/>
  <c r="AW148" i="1"/>
  <c r="AV148" i="1"/>
  <c r="AU148" i="1"/>
  <c r="BD79" i="1"/>
  <c r="BB79" i="1"/>
  <c r="AZ79" i="1"/>
  <c r="AY79" i="1"/>
  <c r="AX79" i="1"/>
  <c r="AW79" i="1"/>
  <c r="AV79" i="1"/>
  <c r="AU79" i="1"/>
  <c r="BD78" i="1"/>
  <c r="BB78" i="1"/>
  <c r="AZ78" i="1"/>
  <c r="AY78" i="1"/>
  <c r="AX78" i="1"/>
  <c r="AW78" i="1"/>
  <c r="AV78" i="1"/>
  <c r="AU78" i="1"/>
  <c r="BD77" i="1"/>
  <c r="BC77" i="1"/>
  <c r="BB77" i="1"/>
  <c r="BA77" i="1"/>
  <c r="AZ77" i="1"/>
  <c r="AY77" i="1"/>
  <c r="AX77" i="1"/>
  <c r="AW77" i="1"/>
  <c r="AV77" i="1"/>
  <c r="AU77" i="1"/>
  <c r="BD76" i="1"/>
  <c r="BC76" i="1"/>
  <c r="BB76" i="1"/>
  <c r="BA76" i="1"/>
  <c r="AZ76" i="1"/>
  <c r="AY76" i="1"/>
  <c r="AX76" i="1"/>
  <c r="AW76" i="1"/>
  <c r="AV76" i="1"/>
  <c r="AU76" i="1"/>
  <c r="BD42" i="1"/>
  <c r="BC42" i="1"/>
  <c r="BB42" i="1"/>
  <c r="BA42" i="1"/>
  <c r="AY42" i="1"/>
  <c r="AX42" i="1"/>
  <c r="AW42" i="1"/>
  <c r="AV42" i="1"/>
  <c r="AU42" i="1"/>
  <c r="BD41" i="1"/>
  <c r="BC41" i="1"/>
  <c r="BB41" i="1"/>
  <c r="BA41" i="1"/>
  <c r="AY41" i="1"/>
  <c r="AX41" i="1"/>
  <c r="AW41" i="1"/>
  <c r="AV41" i="1"/>
  <c r="AU41" i="1"/>
  <c r="BD40" i="1"/>
  <c r="BC40" i="1"/>
  <c r="BB40" i="1"/>
  <c r="BA40" i="1"/>
  <c r="AY40" i="1"/>
  <c r="AX40" i="1"/>
  <c r="AW40" i="1"/>
  <c r="AV40" i="1"/>
  <c r="AU40" i="1"/>
  <c r="BD39" i="1"/>
  <c r="BC39" i="1"/>
  <c r="BB39" i="1"/>
  <c r="BA39" i="1"/>
  <c r="AY39" i="1"/>
  <c r="AX39" i="1"/>
  <c r="AW39" i="1"/>
  <c r="AV39" i="1"/>
  <c r="AU39" i="1"/>
  <c r="BD58" i="1"/>
  <c r="BB58" i="1"/>
  <c r="AY58" i="1"/>
  <c r="AW58" i="1"/>
  <c r="AV58" i="1"/>
  <c r="AU58" i="1"/>
  <c r="BD57" i="1"/>
  <c r="BB57" i="1"/>
  <c r="AY57" i="1"/>
  <c r="AW57" i="1"/>
  <c r="AV57" i="1"/>
  <c r="AU57" i="1"/>
  <c r="I155" i="1"/>
  <c r="I154" i="1"/>
  <c r="I153" i="1"/>
  <c r="I150" i="1"/>
  <c r="I148" i="1"/>
  <c r="I146" i="1"/>
  <c r="I30" i="1"/>
  <c r="I142" i="1"/>
  <c r="I141" i="1"/>
  <c r="I140" i="1"/>
  <c r="I139" i="1"/>
  <c r="I138" i="1"/>
  <c r="I136" i="1"/>
  <c r="I135" i="1"/>
  <c r="I134" i="1"/>
  <c r="I131" i="1"/>
  <c r="I129" i="1"/>
  <c r="I128" i="1"/>
  <c r="I127" i="1"/>
  <c r="I126" i="1"/>
  <c r="I125" i="1"/>
  <c r="I124" i="1"/>
  <c r="I123" i="1"/>
  <c r="I122" i="1"/>
  <c r="I121" i="1"/>
  <c r="I120" i="1"/>
  <c r="I119" i="1"/>
  <c r="I118" i="1"/>
  <c r="I117" i="1"/>
  <c r="I116" i="1"/>
  <c r="I115" i="1"/>
  <c r="I114" i="1"/>
  <c r="I111" i="1"/>
  <c r="I110" i="1"/>
  <c r="I109" i="1"/>
  <c r="I108" i="1"/>
  <c r="I106" i="1"/>
  <c r="I105" i="1"/>
  <c r="I104" i="1"/>
  <c r="I103" i="1"/>
  <c r="I102" i="1"/>
  <c r="I101" i="1"/>
  <c r="I100" i="1"/>
  <c r="I99" i="1"/>
  <c r="I98" i="1"/>
  <c r="I97" i="1"/>
  <c r="I96" i="1"/>
  <c r="I95" i="1"/>
  <c r="I94" i="1"/>
  <c r="I91" i="1"/>
  <c r="I90" i="1"/>
  <c r="I89" i="1"/>
  <c r="I88" i="1"/>
  <c r="I85" i="1"/>
  <c r="I84" i="1"/>
  <c r="I83" i="1"/>
  <c r="I82" i="1"/>
  <c r="I81" i="1"/>
  <c r="I80" i="1"/>
  <c r="I79" i="1"/>
  <c r="I78" i="1"/>
  <c r="I77" i="1"/>
  <c r="I76" i="1"/>
  <c r="I75" i="1"/>
  <c r="W75" i="1" s="1"/>
  <c r="I74" i="1"/>
  <c r="I72" i="1"/>
  <c r="I73" i="1"/>
  <c r="I71" i="1"/>
  <c r="I70" i="1"/>
  <c r="I69" i="1"/>
  <c r="I68" i="1"/>
  <c r="I67" i="1"/>
  <c r="I66" i="1"/>
  <c r="I65" i="1"/>
  <c r="I64" i="1"/>
  <c r="I63" i="1"/>
  <c r="I62" i="1"/>
  <c r="I58" i="1"/>
  <c r="I57" i="1"/>
  <c r="I56" i="1"/>
  <c r="I55" i="1"/>
  <c r="I54" i="1"/>
  <c r="I53" i="1"/>
  <c r="I52" i="1"/>
  <c r="I51" i="1"/>
  <c r="I50" i="1"/>
  <c r="I49" i="1"/>
  <c r="I48" i="1"/>
  <c r="I47" i="1"/>
  <c r="I46" i="1"/>
  <c r="I45" i="1"/>
  <c r="I44" i="1"/>
  <c r="I43" i="1"/>
  <c r="I42" i="1"/>
  <c r="I41" i="1"/>
  <c r="I40" i="1"/>
  <c r="I39" i="1"/>
  <c r="I33" i="1"/>
  <c r="I32" i="1"/>
  <c r="I31" i="1"/>
  <c r="I27" i="1"/>
  <c r="I21" i="1"/>
  <c r="I20" i="1"/>
  <c r="I18" i="1"/>
  <c r="I17" i="1"/>
  <c r="I16" i="1"/>
  <c r="I15" i="1"/>
  <c r="I14" i="1"/>
  <c r="I13" i="1"/>
  <c r="I11" i="1"/>
  <c r="I10" i="1"/>
  <c r="I9" i="1"/>
  <c r="I8" i="1"/>
  <c r="I6" i="1"/>
  <c r="I5" i="1"/>
  <c r="BC45" i="1" l="1"/>
  <c r="BC43" i="1"/>
  <c r="BC44" i="1"/>
</calcChain>
</file>

<file path=xl/sharedStrings.xml><?xml version="1.0" encoding="utf-8"?>
<sst xmlns="http://schemas.openxmlformats.org/spreadsheetml/2006/main" count="10588" uniqueCount="1179">
  <si>
    <t>Comments</t>
  </si>
  <si>
    <t>Propellant (from SPC)</t>
  </si>
  <si>
    <t>N/A</t>
  </si>
  <si>
    <t>DPI</t>
  </si>
  <si>
    <t>Sandoz Ltd</t>
  </si>
  <si>
    <t>Asthma and COPD</t>
  </si>
  <si>
    <t>ICS/LABA</t>
  </si>
  <si>
    <t>18+</t>
  </si>
  <si>
    <t>no</t>
  </si>
  <si>
    <t>Manufacturers carbon footprint data</t>
  </si>
  <si>
    <t>30950411000001104</t>
  </si>
  <si>
    <t>Yes</t>
  </si>
  <si>
    <t>Asthma</t>
  </si>
  <si>
    <t>pMDI</t>
  </si>
  <si>
    <t>34215411000001100</t>
  </si>
  <si>
    <t>34215611000001102</t>
  </si>
  <si>
    <t>Teva UK Ltd</t>
  </si>
  <si>
    <t>Asthma and reversible airways obstruction</t>
  </si>
  <si>
    <t>SABA</t>
  </si>
  <si>
    <t>4+</t>
  </si>
  <si>
    <t>&lt;12, 12+</t>
  </si>
  <si>
    <t>3214511000001102</t>
  </si>
  <si>
    <t>34677111000001108</t>
  </si>
  <si>
    <t>34675911000001101</t>
  </si>
  <si>
    <t>AstraZeneca UK Ltd</t>
  </si>
  <si>
    <t>ICS</t>
  </si>
  <si>
    <t>12+</t>
  </si>
  <si>
    <t>9004311000001101</t>
  </si>
  <si>
    <t>9004011000001104</t>
  </si>
  <si>
    <t>Anoro Ellipta 55 micrograms/22 micrograms inhalation powder, pre-dispensed</t>
  </si>
  <si>
    <t>GlaxoSmithKline</t>
  </si>
  <si>
    <t>umeclidinium 55 micrograms and vilanterol 22 micrograms</t>
  </si>
  <si>
    <t>COPD</t>
  </si>
  <si>
    <t>LABA/LAMA</t>
  </si>
  <si>
    <t>No</t>
  </si>
  <si>
    <t>Cradle to grave calculation performed and certified by the Carbon Trust CERT_12868</t>
  </si>
  <si>
    <t>Significant changes have been made to manufacturing processes in the last 12 months which are not part of the calculations above (as they are based on historical data). Therefore a re-assessment in the next 12-18 months is expected to reflect a lower carbon footprint due to investments in a 100% renewable energy powered manufacturing process. Please note that different companies may take different approaches and use different methodologies to calculate their 'carbon footprint'. To ensure it is directly comparable, an independent body such as the Carbon Trust should be used for the assessment of the raw data from each company, ensuring a consistent methodology and therefore direct comparability.</t>
  </si>
  <si>
    <t>Organon Pharma (UK) Limited</t>
  </si>
  <si>
    <t>4046111000001100</t>
  </si>
  <si>
    <t>4045911000001109</t>
  </si>
  <si>
    <t>4044411000001102</t>
  </si>
  <si>
    <t>4043911000001108</t>
  </si>
  <si>
    <t>A ‘cradle to grave’ 
carbon footprint study was undertaken by ERM for Novartis (and third party verified), assessing climate change impacts.</t>
  </si>
  <si>
    <t>Chiesi Ltd</t>
  </si>
  <si>
    <t>LABA</t>
  </si>
  <si>
    <t>9628811000001103</t>
  </si>
  <si>
    <t>No data available</t>
  </si>
  <si>
    <t>Boehringer Ingelheim Ltd</t>
  </si>
  <si>
    <t>SAMA</t>
  </si>
  <si>
    <t>No lower age limit in SPC. BNF gives dosing from 1 month.</t>
  </si>
  <si>
    <t>&lt;6, 6-12, adult</t>
  </si>
  <si>
    <t>IPCC AR5</t>
  </si>
  <si>
    <t>Bevespi Aerosphere</t>
  </si>
  <si>
    <t>39329211000001101</t>
  </si>
  <si>
    <t>No lower age limit in SPC. BNF gives dosing from 5 years.</t>
  </si>
  <si>
    <t>Bronchitol 40 milligram inhalation powder</t>
  </si>
  <si>
    <t>Mannitol 40mg inhalation powder, hard capsules</t>
  </si>
  <si>
    <t>6+</t>
  </si>
  <si>
    <t>6-12, 13+</t>
  </si>
  <si>
    <t>9111911000001105</t>
  </si>
  <si>
    <t>Specific ages for adults and children not stated in SPC. BNF/BNFC gives doses for 2-11 and 12+.</t>
  </si>
  <si>
    <t>10618411000001108</t>
  </si>
  <si>
    <t>Chiesi have performed calculation of the carbon footprint of our products through the whole lifecycle, using a certified system based on both the ISO 14 067–2018 standard and guideline ‘Greenhouse Gas Accounting Sector Guidance for Pharmaceutical Products
and Medical Devices’ released for the pharmaceutical sector by NHS in UK. Please see attached Panigone S et al clinical paper.</t>
  </si>
  <si>
    <t>10619411000001100</t>
  </si>
  <si>
    <t>10619711000001106</t>
  </si>
  <si>
    <t>10617911000001101</t>
  </si>
  <si>
    <t>The reported data are certified by Certiquality (certificate CFPS23/18) in alignment with ISO 14067:2018 and the guideline “Greenhouse Gas Accounting Sector Guidance for Pharmaceutical Products and Medical Devices” released for the pharmaceutical sector by NHS in UK. The methodology of the analysis has been validated by Carbon Trust through a peer-review process.</t>
  </si>
  <si>
    <t>Colobreathe 1,662,500 IU inhalation powder</t>
  </si>
  <si>
    <t>Other</t>
  </si>
  <si>
    <t>22481111000001104</t>
  </si>
  <si>
    <t>Aspire Pharma</t>
  </si>
  <si>
    <t>35594311000001108</t>
  </si>
  <si>
    <t>https://www.gov.uk/guidance/calculate-the-carbon-dioxide-equivalent-quantity-of-an-f-gas</t>
  </si>
  <si>
    <t>Currently evaluating switching to lower GWP propellants</t>
  </si>
  <si>
    <t>This calculation was based solely on the propellant and we are in the process of acquiring further data and are evaluating switching to lower GWP propellants.</t>
  </si>
  <si>
    <t>35594511000001102</t>
  </si>
  <si>
    <t>4-11, 12+</t>
  </si>
  <si>
    <t>35594111000001106</t>
  </si>
  <si>
    <t>28357511000001109</t>
  </si>
  <si>
    <t>yes</t>
  </si>
  <si>
    <t>25254211000001104</t>
  </si>
  <si>
    <t>25254911000001108</t>
  </si>
  <si>
    <t>Orion Pharma (UK) Ltd</t>
  </si>
  <si>
    <t>Adults (BNF says 18+)</t>
  </si>
  <si>
    <t>9525211000001104</t>
  </si>
  <si>
    <t>6-11, 12+</t>
  </si>
  <si>
    <t>10074011000001109</t>
  </si>
  <si>
    <t>10074811000001103</t>
  </si>
  <si>
    <t>10074511000001101</t>
  </si>
  <si>
    <t>11176511000001105</t>
  </si>
  <si>
    <t>9205311000001107</t>
  </si>
  <si>
    <t>9205011000001109</t>
  </si>
  <si>
    <t>LAMA</t>
  </si>
  <si>
    <t>20985611000001102</t>
  </si>
  <si>
    <t>Novartis Pharmaceuticals UK Ltd-Sandoz Ltd</t>
  </si>
  <si>
    <t>ICS/LABA/LAMA</t>
  </si>
  <si>
    <t>39134911000001100</t>
  </si>
  <si>
    <t>Enerzair Breezhaler (without sensor)</t>
  </si>
  <si>
    <t>39134811000001105</t>
  </si>
  <si>
    <t>Flixotide Accuhaler 100 micrograms</t>
  </si>
  <si>
    <t>5+</t>
  </si>
  <si>
    <t>5-16, 17+</t>
  </si>
  <si>
    <t>Flixotide Accuhaler 250 micrograms</t>
  </si>
  <si>
    <t xml:space="preserve">17+ </t>
  </si>
  <si>
    <t>17+</t>
  </si>
  <si>
    <t>Flixotide Accuhaler 50 micrograms</t>
  </si>
  <si>
    <t>3183911000001106</t>
  </si>
  <si>
    <t>Flixotide Accuhaler 500 micrograms</t>
  </si>
  <si>
    <t>3185411000001104</t>
  </si>
  <si>
    <t>2830911000001107</t>
  </si>
  <si>
    <t>We have a commitment as a company to be net-zero by 2030 and to achieve this we are working to address our propellant emissions, including from Ventolin . We have already invested in and are actively working with partners to explore the options for an alternative, lower carbon propellant. Patient safety is the priority so changes to the produce must be carefully managed and we have resourced an internal project team to support this important work.</t>
  </si>
  <si>
    <t>Flixotide Evohaler 250 micrograms</t>
  </si>
  <si>
    <t>2831411000001108</t>
  </si>
  <si>
    <t>Flixotide Evohaler 50 micrograms</t>
  </si>
  <si>
    <t>2829311000001104</t>
  </si>
  <si>
    <t>Napp Pharmaceuticals Ltd</t>
  </si>
  <si>
    <t>12-17, 18+</t>
  </si>
  <si>
    <t>21019511000001102</t>
  </si>
  <si>
    <t>Vectura are working to quantify the Scope 3 emissions data as part of its CDP declaration in Jul'21.</t>
  </si>
  <si>
    <t>Not yet calculated - Scope 3 upstream &amp; downstream carbon calculation are required and this is currently being evaluated</t>
  </si>
  <si>
    <t>Losses During manufacturing ~ 10%</t>
  </si>
  <si>
    <t>Not yet calculated</t>
  </si>
  <si>
    <t>End use ~ 90%</t>
  </si>
  <si>
    <t>No currently confirmed dates for introductions</t>
  </si>
  <si>
    <t xml:space="preserve">21019811000001104
</t>
  </si>
  <si>
    <t>5-11, 12-17, 18+</t>
  </si>
  <si>
    <t>21020711000001108</t>
  </si>
  <si>
    <t>pMDI (breath actuated)</t>
  </si>
  <si>
    <t>34950411000001101</t>
  </si>
  <si>
    <t>34950511000001102</t>
  </si>
  <si>
    <t>34812311000001108</t>
  </si>
  <si>
    <t>34950711000001107</t>
  </si>
  <si>
    <t>Novartis Pharmaceuticals UK Ltd</t>
  </si>
  <si>
    <t>12906511000001101</t>
  </si>
  <si>
    <t>31063511000001102</t>
  </si>
  <si>
    <t>Extrafine particle size distribution. When switching patients from previous treatments, it should be considered that the recommended total daily dose of beclometasone dipropionate for Fostair NEXThaler is lower than that for current beclometasone dipropionate containing non-extrafine products and should be adjusted to the needs of the individual patient.</t>
  </si>
  <si>
    <t>26112411000001101</t>
  </si>
  <si>
    <t>31063211000001100</t>
  </si>
  <si>
    <t>35515611000001101</t>
  </si>
  <si>
    <t>35515411000001104</t>
  </si>
  <si>
    <t>Incruse Ellipta 55micrograms inhalation powder, pre-dispensed</t>
  </si>
  <si>
    <t>27568011000001104</t>
  </si>
  <si>
    <t xml:space="preserve">Inhalvent 20micrograms/dose inhaler </t>
  </si>
  <si>
    <t>34954911000001104</t>
  </si>
  <si>
    <t>Intal CFC-free Inhaler 5mg Pressurised Inhalation, Suspension</t>
  </si>
  <si>
    <t>Cipla EU Ltd</t>
  </si>
  <si>
    <t>Extrafine particle size. The recommended total daily dose of Kelhale is lower than that for most other beclometasone dipropionate containing products.</t>
  </si>
  <si>
    <t>35430411000001105</t>
  </si>
  <si>
    <t>Energy: 0.0017 gCO2e/ inhaler  (only scope 1 + 2 sources) Water: 1.49 gCO2e/ inhaler (as per PSCI emission calculations)</t>
  </si>
  <si>
    <t>Cipla recycles 100% of the equivalent of its post-consumer waste/ extended producer responsibility. This includes plastic attributed to inhaler products. Part of Scope 3 (indirect emissions, outside the control of the company) as per GHG Protocol and the company intends to calculate the same in the coming years.</t>
  </si>
  <si>
    <t>Unlike some others Kelhale does not require refrigeration</t>
  </si>
  <si>
    <t>35430211000001106</t>
  </si>
  <si>
    <t>17300911000001104</t>
  </si>
  <si>
    <t>17300011000001103</t>
  </si>
  <si>
    <t>Osmohale 10mg inhalation powder, hard capsule</t>
  </si>
  <si>
    <t>Mannitol 10mg inhalation powder capsules</t>
  </si>
  <si>
    <t>15425811000001101</t>
  </si>
  <si>
    <t>Osmohale 20mg inhalation powder, hard capsule</t>
  </si>
  <si>
    <t>Mannitol 20mg inhalation powder capsules</t>
  </si>
  <si>
    <t>15426311000001100</t>
  </si>
  <si>
    <t>Osmohale 40mg inhalation powder, hard capsule</t>
  </si>
  <si>
    <t>Mannitol 40mg inhalation powder capsules</t>
  </si>
  <si>
    <t>15426711000001101</t>
  </si>
  <si>
    <t>Osmohale 5mg inhalation powder, hard capsule</t>
  </si>
  <si>
    <t>Mannitol 5mg inhalation powder capsules</t>
  </si>
  <si>
    <t>15425311000001105</t>
  </si>
  <si>
    <t>6-18, 19+</t>
  </si>
  <si>
    <t>3245311000001100</t>
  </si>
  <si>
    <t>3243911000001100</t>
  </si>
  <si>
    <t>Penthrox  99.9%, 3 ml inhalation vapour, liquid</t>
  </si>
  <si>
    <t>Methoxyflurane 999mg per 1gm</t>
  </si>
  <si>
    <t>31363011000001109</t>
  </si>
  <si>
    <t>5-12, 13+</t>
  </si>
  <si>
    <t>3113211000001100</t>
  </si>
  <si>
    <t>3112611000001108</t>
  </si>
  <si>
    <t>3229111000001103</t>
  </si>
  <si>
    <t>Extrafine particle size. The recommended total daily dose of Qvar is lower than that for most other beclometasone dipropionate containing products.</t>
  </si>
  <si>
    <t>HFA-134a</t>
  </si>
  <si>
    <t>3176111000001109</t>
  </si>
  <si>
    <t>3177011000001106</t>
  </si>
  <si>
    <t>3178011000001107</t>
  </si>
  <si>
    <t>3177511000001103</t>
  </si>
  <si>
    <t>8159811000001105</t>
  </si>
  <si>
    <t>8159611000001106</t>
  </si>
  <si>
    <t>Relenza 5 milligram/dose inhalation powder</t>
  </si>
  <si>
    <t>Zanamivir 5mg inhalation powder blister with Diskhaler</t>
  </si>
  <si>
    <t>4125611000001108</t>
  </si>
  <si>
    <t>Relvar Ellipta 184/22 micrograms</t>
  </si>
  <si>
    <t>23621811000001105</t>
  </si>
  <si>
    <t>Relvar Ellipta 92/22 micrograms</t>
  </si>
  <si>
    <t>23622111000001108</t>
  </si>
  <si>
    <t>1481411000001105</t>
  </si>
  <si>
    <t>3215611000001102</t>
  </si>
  <si>
    <t>6-12, 12+</t>
  </si>
  <si>
    <t>13533611000001100</t>
  </si>
  <si>
    <t>21495511000001106</t>
  </si>
  <si>
    <t>34023711000001105</t>
  </si>
  <si>
    <t>Energy: 332. 15 gCO2e/ inhaler  (only scope 1 + 2 sources) Water: 437.01 gCO2e/ inhaler (as per PSCI emission calculations</t>
  </si>
  <si>
    <t>No refrigeration required.</t>
  </si>
  <si>
    <t>34023911000001107</t>
  </si>
  <si>
    <t>3187011000001101</t>
  </si>
  <si>
    <t>Cradle to grave calculation performed and certified by the Carbon Trust CERT_12506</t>
  </si>
  <si>
    <t>3187311000001103</t>
  </si>
  <si>
    <t>3188411000001109</t>
  </si>
  <si>
    <t>2830811000001102</t>
  </si>
  <si>
    <t xml:space="preserve">We have a commitment as a company to be net-zero by 2030 and to achieve this we are working to address our propellant emissions, including from Ventolin . We have already invested in and are actively working with partners to explore the options for an alternative, lower carbon propellant. Patient safety is the priority so changes to the produce must be carefully managed and we have resourced an internal project team to support this important work. </t>
  </si>
  <si>
    <t>2831011000001104</t>
  </si>
  <si>
    <t>4-12, 12+</t>
  </si>
  <si>
    <t>3381011000001102</t>
  </si>
  <si>
    <t>10073111000001108</t>
  </si>
  <si>
    <t>29782211000001101</t>
  </si>
  <si>
    <t>29782611000001104</t>
  </si>
  <si>
    <t>13+</t>
  </si>
  <si>
    <t>33561311000001101</t>
  </si>
  <si>
    <t>Soprobec 100 micrograms</t>
  </si>
  <si>
    <t>Glenmark Pharmaceuticals Europe Ltd</t>
  </si>
  <si>
    <t>No lower age limit stated</t>
  </si>
  <si>
    <t>No lower age limit stated in SPC. Branded generic of Clenil Modulite - BNF/BNFC gives doses for 2-11 and 12+</t>
  </si>
  <si>
    <t>36603711000001104</t>
  </si>
  <si>
    <t>Soprobec 200 micrograms</t>
  </si>
  <si>
    <t>Not recommended for children</t>
  </si>
  <si>
    <t>36603511000001109</t>
  </si>
  <si>
    <t>Soprobec 250 micrograms</t>
  </si>
  <si>
    <t>36603911000001102</t>
  </si>
  <si>
    <t>Soprobec 50 micrograms</t>
  </si>
  <si>
    <t>36603311000001103</t>
  </si>
  <si>
    <t>SMI</t>
  </si>
  <si>
    <t xml:space="preserve">29971411000001107 </t>
  </si>
  <si>
    <t>n/a</t>
  </si>
  <si>
    <t>tiotropium bromide monohydrate 22.5 micrograms equivalent to 18 micrograms tiotropium</t>
  </si>
  <si>
    <t>3380511000001103</t>
  </si>
  <si>
    <t>Production = 19</t>
  </si>
  <si>
    <t>The biogenic carbon results from energy consumption (renewable-based energy carriers in the electricity grid mix and fuels) and paper products used as packaging. 
For the HandiHaler additional sources for biogenic carbon are lactose (in the formulation) and gelatin (material of the capsule), which result in a negative biogenic contribution (net carbon uptake from carbon contained in bio-based materials).</t>
  </si>
  <si>
    <t>SPC specifies the concomitant asthma treatment the person should be on with Spiriva Respimat, which varies according to age group.</t>
  </si>
  <si>
    <t>36604911000001100</t>
  </si>
  <si>
    <t>olodaterol 2.5micrograms/puff</t>
  </si>
  <si>
    <t>39106111000001103</t>
  </si>
  <si>
    <t>3294311000001109</t>
  </si>
  <si>
    <t>32926711000001103</t>
  </si>
  <si>
    <t>3294711000001108</t>
  </si>
  <si>
    <t xml:space="preserve">maintenance only:12-17, 18+. </t>
  </si>
  <si>
    <t>4374111000001109</t>
  </si>
  <si>
    <t>33595011000001100</t>
  </si>
  <si>
    <t>TOBI podhaler 28mg inhalation powder capsules with device</t>
  </si>
  <si>
    <t>Tobramycin 28mg inhalation powder capsules with device</t>
  </si>
  <si>
    <t>19537111000001102</t>
  </si>
  <si>
    <t>Trelegy Ellipta 92 micrograms/55 micrograms/22 micrograms inhalation powder, pre-dispensed</t>
  </si>
  <si>
    <t>34952311000001107</t>
  </si>
  <si>
    <t>34681711000001109</t>
  </si>
  <si>
    <t>39327411000001106</t>
  </si>
  <si>
    <t>28007411000001103</t>
  </si>
  <si>
    <t>3383211000001106</t>
  </si>
  <si>
    <t>1479411000001101</t>
  </si>
  <si>
    <t>References</t>
  </si>
  <si>
    <t>All NHS healthcare providers in England must now use SNOMED CT for capturing clinical terms within electronic patient record systems. Northern Ireland, Scotland and Wales also have programmes of work underway in relation to SNOMED CT.</t>
  </si>
  <si>
    <t>The indicative carbon footprint calculations per 28 days or per annum assume that patients use their inhalers regularly at the stated number of puffs per day and that the total number of doses in the inhaler are 100% used. In reality, patients do not 100% comply and will not use the entire contents of the inhaler. Readers may want to take this into consideration when using these tables.</t>
  </si>
  <si>
    <t>Small volume pMDIs contain ethanol which increases the solubility and so allows less propellant to be used. pMDIs are listed as large volume if they do not contain ethanol as an excipient as listed in their SPC.</t>
  </si>
  <si>
    <t>AZ commissioned Environmental Resources Management (ERM). The methodology used was validated by Resource and Waste Solutions Partnership (RWSP) verifying compliance wth GHG Protocol Product Life Cycle Accounting and Reporting Standard.</t>
  </si>
  <si>
    <t>No ethanol, so large volume inhaler</t>
  </si>
  <si>
    <t>Mucolytic</t>
  </si>
  <si>
    <t>Antibiotic</t>
  </si>
  <si>
    <t>Anaesthetic</t>
  </si>
  <si>
    <t>Antiviral</t>
  </si>
  <si>
    <t>Aminoglycoside</t>
  </si>
  <si>
    <t>Inhalation vapour</t>
  </si>
  <si>
    <t>5-17, 18+</t>
  </si>
  <si>
    <t>HFA-227ea</t>
  </si>
  <si>
    <r>
      <t>Brand name</t>
    </r>
    <r>
      <rPr>
        <b/>
        <vertAlign val="superscript"/>
        <sz val="12"/>
        <rFont val="Arial"/>
        <family val="2"/>
      </rPr>
      <t>1</t>
    </r>
  </si>
  <si>
    <r>
      <t>Generic name</t>
    </r>
    <r>
      <rPr>
        <b/>
        <vertAlign val="superscript"/>
        <sz val="12"/>
        <rFont val="Arial"/>
        <family val="2"/>
      </rPr>
      <t>1</t>
    </r>
  </si>
  <si>
    <r>
      <t>Therapeutic group</t>
    </r>
    <r>
      <rPr>
        <b/>
        <vertAlign val="superscript"/>
        <sz val="12"/>
        <rFont val="Arial"/>
        <family val="2"/>
      </rPr>
      <t>1</t>
    </r>
  </si>
  <si>
    <r>
      <t>Device type</t>
    </r>
    <r>
      <rPr>
        <b/>
        <vertAlign val="superscript"/>
        <sz val="12"/>
        <rFont val="Arial"/>
        <family val="2"/>
      </rPr>
      <t>1</t>
    </r>
  </si>
  <si>
    <r>
      <t>Doses per inhaler</t>
    </r>
    <r>
      <rPr>
        <b/>
        <vertAlign val="superscript"/>
        <sz val="12"/>
        <rFont val="Arial"/>
        <family val="2"/>
      </rPr>
      <t>1,2</t>
    </r>
  </si>
  <si>
    <t xml:space="preserve">This data is included in the API raw materials and manufacturing data </t>
  </si>
  <si>
    <t xml:space="preserve">This data is included in the energy and water consumption footprint - our breakdown was by process step that took place in different manufacturing locations - eg API manufacturing sites, device component manufacturing sites, formulation &amp; inhaler assembly sites </t>
  </si>
  <si>
    <t>This data is included in the energy and water consumption footprint - our breakdown was by process step that took place in different manufacturing locations - eg API manufacturing sites, device component manufacturing sites, formulation &amp; inhaler assembly</t>
  </si>
  <si>
    <t>Primary care rebates information relates to rebates available to NHS commissioners in England only as these are agreed on an organisational basis in England. In Wales, Scotland and Northern Ireland primary care rebates are managed centrally at a national level.</t>
  </si>
  <si>
    <t>Lupin Healthcare (UK) Ltd</t>
  </si>
  <si>
    <t>39817611000001104</t>
  </si>
  <si>
    <t>39605811000001103</t>
  </si>
  <si>
    <t>Now marketed by Covis Pharma</t>
  </si>
  <si>
    <t>9342511000001108</t>
  </si>
  <si>
    <t>There is a maximum of 15 digits allowed in Excel and so the apostrophe character (') is used in front of the SNOMED number within the cell.</t>
  </si>
  <si>
    <r>
      <t>Alissa Healthcare Research Ltd</t>
    </r>
    <r>
      <rPr>
        <vertAlign val="superscript"/>
        <sz val="12"/>
        <rFont val="Arial"/>
        <family val="2"/>
      </rPr>
      <t>1</t>
    </r>
  </si>
  <si>
    <t>AirFluSal Forspiro 50/500 micrograms</t>
  </si>
  <si>
    <t>AirFluSal MDI 25/125 micrograms</t>
  </si>
  <si>
    <t>AirFluSal MDI 25/250 micrograms</t>
  </si>
  <si>
    <t>salbutamol 100 micrograms/puff</t>
  </si>
  <si>
    <t>Airomir Autohaler 100 micrograms</t>
  </si>
  <si>
    <t>Aloflute MDI 25/125 micrograms</t>
  </si>
  <si>
    <t>Aloflute MDI 25/250 micrograms</t>
  </si>
  <si>
    <t>Alvesco 160 micrograms</t>
  </si>
  <si>
    <t>ciclesonide 160 micrograms/puff</t>
  </si>
  <si>
    <t>Alvesco 80 micrograms</t>
  </si>
  <si>
    <t>ciclesonide 80 micrograms/puff</t>
  </si>
  <si>
    <t>mometasone furoate 200 micrograms/inhalation</t>
  </si>
  <si>
    <t>mometasone furoate 400 micrograms/inhalation</t>
  </si>
  <si>
    <t>Atimos Modulite 12 micrograms</t>
  </si>
  <si>
    <t>formoterol fumarate dihydrate 12 micrograms/puff</t>
  </si>
  <si>
    <t>Atrovent 20 micrograms</t>
  </si>
  <si>
    <t>ipratropium bromide 20 micrograms/puff</t>
  </si>
  <si>
    <t>Bricanyl Turbohaler 500 micrograms</t>
  </si>
  <si>
    <t>terbutaline 500 micrograms/puff</t>
  </si>
  <si>
    <t>budesonide 200 micrograms/inhalation (cartridge only)</t>
  </si>
  <si>
    <t>budesonide 200 micrograms/inhalation (cartridge + inhaler)</t>
  </si>
  <si>
    <t>Clenil Modulite 100 micrograms</t>
  </si>
  <si>
    <t>beclometasone dipropionate 100 micrograms/puff</t>
  </si>
  <si>
    <t>Clenil Modulite 200 micrograms</t>
  </si>
  <si>
    <t>beclometasone dipropionate 200 micrograms/puff</t>
  </si>
  <si>
    <t>Clenil Modulite 250 micrograms</t>
  </si>
  <si>
    <t>beclometasone dipropionate 250 micrograms/puff</t>
  </si>
  <si>
    <t>Clenil Modulite 50 micrograms</t>
  </si>
  <si>
    <t>beclometasone dipropionate 50 micrograms/puff</t>
  </si>
  <si>
    <t>Combisal 25/125 micrograms</t>
  </si>
  <si>
    <t>Combisal 25/250 micrograms</t>
  </si>
  <si>
    <t>Combisal 25/50 micrograms</t>
  </si>
  <si>
    <t>DuoResp Spiromax 160/4.5 micrograms</t>
  </si>
  <si>
    <t>DuoResp Spiromax 320/9 micrograms</t>
  </si>
  <si>
    <t>Easyhaler Beclometasone 200 micrograms</t>
  </si>
  <si>
    <t>beclometasone dipropionate 200 micrograms/inhalation</t>
  </si>
  <si>
    <t>Easyhaler Budesonide 100 micrograms</t>
  </si>
  <si>
    <t>budesonide 100 micrograms/inhalation</t>
  </si>
  <si>
    <t>Easyhaler Budesonide 200 micrograms</t>
  </si>
  <si>
    <t>budesonide 200 micrograms/inhalation</t>
  </si>
  <si>
    <t>Easyhaler Budesonide 400 micrograms</t>
  </si>
  <si>
    <t>budesonide 400 micrograms/inhalation</t>
  </si>
  <si>
    <t>Easyhaler Formoterol 12 micrograms</t>
  </si>
  <si>
    <t>formoterol fumarate dihydrate 12 micrograms/inhalation</t>
  </si>
  <si>
    <t>Easyhaler Salbutamol 100 micrograms</t>
  </si>
  <si>
    <t>Easyhaler Salbutamol 200 micrograms</t>
  </si>
  <si>
    <t>Eklira Genuair 322 micrograms inhalation powder</t>
  </si>
  <si>
    <t>fluticasone propionate 100 micrograms/inhalation</t>
  </si>
  <si>
    <t>fluticasone propionate 250 micrograms/inhalation</t>
  </si>
  <si>
    <t>fluticasone propionate 50 micrograms/inhalation</t>
  </si>
  <si>
    <t>fluticasone propionate 500 micrograms/inhalation</t>
  </si>
  <si>
    <t>fluticasone propionate 125 micrograms/puff</t>
  </si>
  <si>
    <t>fluticasone propionate 250 micrograms/puff</t>
  </si>
  <si>
    <t>fluticasone propionate 50 micrograms/puff</t>
  </si>
  <si>
    <t>Flutiform 125/5 micrograms</t>
  </si>
  <si>
    <t>Flutiform 50/5 micrograms</t>
  </si>
  <si>
    <t>Fobumix Easyhaler 160/4.5 micrograms</t>
  </si>
  <si>
    <t>Fobumix Easyhaler 320/9 micrograms</t>
  </si>
  <si>
    <t>Fobumix Easyhaler 80/4.5 micrograms</t>
  </si>
  <si>
    <t>Fostair 100/6 micrograms</t>
  </si>
  <si>
    <t>Fostair 200/6 micrograms</t>
  </si>
  <si>
    <t>Fostair Nexthaler 100/6 micrograms</t>
  </si>
  <si>
    <t>Fusacomb Easyhaler 50/250 micrograms</t>
  </si>
  <si>
    <t>Fusacomb Easyhaler 50/500 micrograms</t>
  </si>
  <si>
    <t>Kelhale 100 micrograms</t>
  </si>
  <si>
    <t>Kelhale 50 micrograms</t>
  </si>
  <si>
    <t>Onbrez Breezhaler 150 micrograms inhalation powder, hard capsules</t>
  </si>
  <si>
    <t>Onbrez Breezhaler 300 micrograms inhalation powder, hard capsules</t>
  </si>
  <si>
    <t>Oxis Turbohaler 12 micrograms</t>
  </si>
  <si>
    <t>Oxis Turbohaler 6 micrograms</t>
  </si>
  <si>
    <t>formoterol fumarate dihydrate 6 micrograms/inhalation</t>
  </si>
  <si>
    <t>Pulmicort Turbohaler 100 micrograms</t>
  </si>
  <si>
    <t>Pulmicort Turbohaler 200 micrograms</t>
  </si>
  <si>
    <t>Pulmicort Turbohaler 400 micrograms</t>
  </si>
  <si>
    <t>Qvar 100 micrograms</t>
  </si>
  <si>
    <t>Qvar 50 micrograms</t>
  </si>
  <si>
    <t>Qvar Autohaler 100 micrograms</t>
  </si>
  <si>
    <t>Qvar Autohaler 50 micrograms</t>
  </si>
  <si>
    <t>Qvar Easi-Breathe 100 micrograms</t>
  </si>
  <si>
    <t>Qvar Easi-Breathe 50 micrograms</t>
  </si>
  <si>
    <t>Salamol CFC-Free Inhaler  100 micrograms</t>
  </si>
  <si>
    <t>Salamol Easi-Breathe 100 micrograms</t>
  </si>
  <si>
    <t>Salbulin Novolizer 100 micrograms</t>
  </si>
  <si>
    <t>salbutamol 100 micrograms/puff (cartridge + inhaler)</t>
  </si>
  <si>
    <t>Seebri Breezhaler 44 micrograms inhalation powder, hard capsules</t>
  </si>
  <si>
    <t>Sereflo 25/125 micrograms</t>
  </si>
  <si>
    <t>Sereflo 25/250 micrograms</t>
  </si>
  <si>
    <t>Seretide Accuhaler 50/100 micrograms</t>
  </si>
  <si>
    <t>Seretide Accuhaler 50/250 micrograms</t>
  </si>
  <si>
    <t>Seretide Accuhaler 50/500 micrograms</t>
  </si>
  <si>
    <t>Seretide Evohaler 25/125 micrograms</t>
  </si>
  <si>
    <t>Seretide Evohaler 25/250 micrograms</t>
  </si>
  <si>
    <t>Seretide Evohaler 25/50 micrograms</t>
  </si>
  <si>
    <t>Serevent Accuhaler 50 micrograms</t>
  </si>
  <si>
    <t>salmeterol (as xinafoate) 50 micrograms/inhalation</t>
  </si>
  <si>
    <t>Serevent Evohaler 25 micrograms</t>
  </si>
  <si>
    <t>salmeterol (as xinafoate) 25 micrograms/puff</t>
  </si>
  <si>
    <t>Sirdupla 25/125 micrograms</t>
  </si>
  <si>
    <t>Sirdupla 25/250 micrograms</t>
  </si>
  <si>
    <t>Soltel 25 micrograms</t>
  </si>
  <si>
    <t>tiotropium 2.5 micrograms and 2.5 micrograms olodaterol/puff</t>
  </si>
  <si>
    <t>Spiriva 18 micrograms inhalation powder</t>
  </si>
  <si>
    <t>tiotropium 2.5 micrograms per puff</t>
  </si>
  <si>
    <t>Stalpex 50/500 micrograms</t>
  </si>
  <si>
    <t>Symbicort 100/3 micrograms pMDI</t>
  </si>
  <si>
    <t>Symbicort 100/6 micrograms Turbohaler</t>
  </si>
  <si>
    <t>Symbicort 200/6 micrograms pMDI</t>
  </si>
  <si>
    <t>Symbicort 200/6 micrograms Turbohaler</t>
  </si>
  <si>
    <t>Symbicort 400/12 micrograms Turbohaler</t>
  </si>
  <si>
    <t>Ventolin Accuhaler 200 micrograms</t>
  </si>
  <si>
    <t>salbutamol 200 micrograms/puff</t>
  </si>
  <si>
    <t>Ventolin Evohaler 100 micrograms</t>
  </si>
  <si>
    <t>Flutiform 250/10 micrograms</t>
  </si>
  <si>
    <t>Fostair Nexthaler 200/6 micrograms</t>
  </si>
  <si>
    <t>umeclidinium 55 micrograms/puff</t>
  </si>
  <si>
    <t>indacaterol 300 micrograms inhalation powder, hard capsule</t>
  </si>
  <si>
    <t>indacaterol 150 micrograms inhalation powder, hard capsule</t>
  </si>
  <si>
    <t>glycopyrronium 44 micrograms inhalation powder, hard capsule</t>
  </si>
  <si>
    <t>tiotropium 10 micrograms inhalation powder, hard capsule</t>
  </si>
  <si>
    <t>indacaterol 85 micrograms and glycopyrronium 43 micrograms inhalation powder, hard capsule</t>
  </si>
  <si>
    <t>formoterol fumarate 5 micrograms / glycopyrronium 7.2 micrograms / budesonide 160 micrograms/ dose</t>
  </si>
  <si>
    <t>aclidinium bromide 322 micrograms/puff</t>
  </si>
  <si>
    <t>indacaterol 114micrograms / glycopyrronium 46 micrograms  / mometasone 136 micrograms inhalation powder, hard capsules</t>
  </si>
  <si>
    <t>indacaterol 114 micrograms / glycopyrronium 46 micrograms  / mometasone 136 micrograms inhalation powder, hard capsules</t>
  </si>
  <si>
    <t>ipratropium bromide 20 micrograms/actuation pressurised inhalation, solution</t>
  </si>
  <si>
    <t>aclidinium bromide 322 micrograms and formoterol fumarate 12 micrograms/puff</t>
  </si>
  <si>
    <t>formoterol fumarate dihydrate 5 micrograms / glycopyrronium 7.2 micrograms/puff</t>
  </si>
  <si>
    <t>tiotropium 18 micrograms inhalation powder, hard capsules with device</t>
  </si>
  <si>
    <t>Ultibro Breezhaler 85 micrograms /43 micrograms inhalation powder hard capsules</t>
  </si>
  <si>
    <t>beclometasone 87 micrograms/ formoterol 5 micrograms/ glycopyrronium 9 micrograms/puff</t>
  </si>
  <si>
    <t>fluticasone furoate 92 micrograms/ umeclidinium 55 micrograms/ vilanterol 22 micrograms/puff</t>
  </si>
  <si>
    <t>Trimbow 87 micrograms/ 5 micrograms/ 9 micrograms pressurised inhalation, solution</t>
  </si>
  <si>
    <t>SPC states this strength not recommended for children (no age specified)</t>
  </si>
  <si>
    <t>12-16 year olds classed as children for dosing. Max dose in children 200micrograms bd (SPC)</t>
  </si>
  <si>
    <t>12-16 year olds classed as children for dosing. Max dose in children 200micrograms bd (SPC). Carbon footprint data based on 250mcg strength Flixotide Evohaler.</t>
  </si>
  <si>
    <t>Extrafine particle size distribution which results in a more potent effect than formulations of beclometasone dipropionate with a non-extrafine particle size distribution (100 micrograms of beclometasone dipropionate extrafine in Fostair are equivalent to 250 micrograms of beclometasone dipropionate in a non-extrafine formulation). </t>
  </si>
  <si>
    <t>Refer HFA 227ea patent information 
(reference: Mueller-Walz R, Fueg LM. Medicinal aerosol formulations, 2014. Available: https://www.google.com/patents/ US20140314684)</t>
  </si>
  <si>
    <t>x - Note: Raw material distribution and site waste are included but are aggregated into other life cycle stages.</t>
  </si>
  <si>
    <t xml:space="preserve">The Breezhaler case study - https://www.novartis.com/our-company/corporate-responsibility/environmental-sustainability/climate/case-study-breezhaler-carbon-footprint.*Note: The Breezhaler carbon footprint is in the process of being updated to reflect a new emission factor for aluminum and the ecoinvent version 3.6 database rather than 3.5. This will be reflected shortly in the Breezhaler case study on Novartis.com </t>
  </si>
  <si>
    <t xml:space="preserve">This data is included in the energy and water consumption footprint - our breakdown was by process step that took place in different manufacturing locations - e.g. API manufacturing sites, device component manufacturing sites, formulation &amp; inhaler assembly sites </t>
  </si>
  <si>
    <t>This data is included in the energy and water consumption footprint - our breakdown was by process step that took place in different manufacturing locations - e.g. API manufacturing sites, device component manufacturing sites, formulation &amp; inhaler assembly</t>
  </si>
  <si>
    <t xml:space="preserve">We have a commitment as a company to be net-zero by 2030 and to achieve this we are working to address our propellant emissions, including from Ventolin. We have already invested in and are actively working with partners to explore the options for an alternative, lower carbon propellant. Patient safety is the priority so changes to the produce must be carefully managed and we have resourced an internal project team to support this important work. </t>
  </si>
  <si>
    <t>Colistimethate sodium 125mg (1,662,500 IU) inhalation powder, hard capsules</t>
  </si>
  <si>
    <t>Thornton &amp; Ross Ltd</t>
  </si>
  <si>
    <t>39567911000001105</t>
  </si>
  <si>
    <t>39567711000001108</t>
  </si>
  <si>
    <t>39567511000001103</t>
  </si>
  <si>
    <t>Fixkoh Airmaster 50micrograms/100 micrograms dose inhalation powder, pre-dispensed</t>
  </si>
  <si>
    <t>Fixkoh Airmaster 50micrograms/250 micrograms dose inhalation powder, pre-dispensed</t>
  </si>
  <si>
    <t>Fixkoh Airmaster 50micrograms/500 micrograms dose inhalation powder, pre-dispensed</t>
  </si>
  <si>
    <t>All inhaler manufacturers were asked to complete the inhaler carbon footprint information. Not all manufacturers had data available or did not provide data. Column V, "Manufacturers or estimated from literature carbon footprint data" states where manufacturers have provided this data.</t>
  </si>
  <si>
    <t>For salbutamol inhalers, it was assumed that two inhalers per annum would be prescribed.</t>
  </si>
  <si>
    <r>
      <t>Manufacturer</t>
    </r>
    <r>
      <rPr>
        <b/>
        <vertAlign val="superscript"/>
        <sz val="12"/>
        <rFont val="Arial"/>
        <family val="2"/>
      </rPr>
      <t>1</t>
    </r>
  </si>
  <si>
    <r>
      <t xml:space="preserve">Indication: asthma, COPD or asthma and COPD or other </t>
    </r>
    <r>
      <rPr>
        <b/>
        <vertAlign val="superscript"/>
        <sz val="12"/>
        <rFont val="Arial"/>
        <family val="2"/>
      </rPr>
      <t>1-4</t>
    </r>
  </si>
  <si>
    <r>
      <t xml:space="preserve">NHS cost per inhaler </t>
    </r>
    <r>
      <rPr>
        <b/>
        <vertAlign val="superscript"/>
        <sz val="12"/>
        <rFont val="Arial"/>
        <family val="2"/>
      </rPr>
      <t>1,5-7</t>
    </r>
  </si>
  <si>
    <r>
      <t xml:space="preserve">Cost/puff </t>
    </r>
    <r>
      <rPr>
        <b/>
        <vertAlign val="superscript"/>
        <sz val="12"/>
        <rFont val="Arial"/>
        <family val="2"/>
      </rPr>
      <t>1,5-7</t>
    </r>
  </si>
  <si>
    <r>
      <t>Age licensed from</t>
    </r>
    <r>
      <rPr>
        <b/>
        <vertAlign val="superscript"/>
        <sz val="12"/>
        <rFont val="Arial"/>
        <family val="2"/>
      </rPr>
      <t>1-4</t>
    </r>
  </si>
  <si>
    <r>
      <t>Age ranges for doses</t>
    </r>
    <r>
      <rPr>
        <b/>
        <vertAlign val="superscript"/>
        <sz val="12"/>
        <rFont val="Arial"/>
        <family val="2"/>
      </rPr>
      <t>1-4</t>
    </r>
  </si>
  <si>
    <r>
      <t>MART licence?</t>
    </r>
    <r>
      <rPr>
        <b/>
        <vertAlign val="superscript"/>
        <sz val="12"/>
        <rFont val="Arial"/>
        <family val="2"/>
      </rPr>
      <t>1-4</t>
    </r>
  </si>
  <si>
    <r>
      <t>Primary care rebate available (England)?</t>
    </r>
    <r>
      <rPr>
        <b/>
        <vertAlign val="superscript"/>
        <sz val="12"/>
        <rFont val="Arial"/>
        <family val="2"/>
      </rPr>
      <t>7</t>
    </r>
  </si>
  <si>
    <r>
      <t>Do you have plans to change to HFA152a propellant or alternative lower GWP value propellant?</t>
    </r>
    <r>
      <rPr>
        <b/>
        <vertAlign val="superscript"/>
        <sz val="12"/>
        <rFont val="Arial"/>
        <family val="2"/>
      </rPr>
      <t>7</t>
    </r>
  </si>
  <si>
    <r>
      <t>When do you plan to introduce lower GWP propellants in your inhalers?</t>
    </r>
    <r>
      <rPr>
        <b/>
        <vertAlign val="superscript"/>
        <sz val="12"/>
        <rFont val="Arial"/>
        <family val="2"/>
      </rPr>
      <t>7</t>
    </r>
  </si>
  <si>
    <r>
      <t>Further information on the carbon footprint of this product</t>
    </r>
    <r>
      <rPr>
        <b/>
        <vertAlign val="superscript"/>
        <sz val="12"/>
        <rFont val="Arial"/>
        <family val="2"/>
      </rPr>
      <t>7</t>
    </r>
  </si>
  <si>
    <t>Pharmaxis Europe Limited</t>
  </si>
  <si>
    <t>Galen Limited</t>
  </si>
  <si>
    <r>
      <t>Device is now reusable, optimum 6:1 (6 cartridges to 1 inhaler device) ratio impacts CO</t>
    </r>
    <r>
      <rPr>
        <vertAlign val="subscript"/>
        <sz val="12"/>
        <rFont val="Arial"/>
        <family val="2"/>
      </rPr>
      <t>2</t>
    </r>
    <r>
      <rPr>
        <sz val="12"/>
        <rFont val="Arial"/>
        <family val="2"/>
      </rPr>
      <t xml:space="preserve"> and single plastic use. </t>
    </r>
  </si>
  <si>
    <r>
      <t>In line with Scope 3 emissions calculations method for use of sold porducts by PSCI. The method is: [Propellant used by weight in one product (R134a) in kg X global warming potential for R134 per kg (1300) / number of metered dose or actuations per product ] x 1000 = gram CO</t>
    </r>
    <r>
      <rPr>
        <vertAlign val="subscript"/>
        <sz val="12"/>
        <rFont val="Arial"/>
        <family val="2"/>
      </rPr>
      <t>2</t>
    </r>
    <r>
      <rPr>
        <sz val="12"/>
        <rFont val="Arial"/>
        <family val="2"/>
      </rPr>
      <t xml:space="preserve">e </t>
    </r>
  </si>
  <si>
    <r>
      <t>Energy: 0.0017 gCO2e/ inhaler  (only scope 1 + 2 sources) Water: 1.49 gCO</t>
    </r>
    <r>
      <rPr>
        <vertAlign val="subscript"/>
        <sz val="12"/>
        <rFont val="Arial"/>
        <family val="2"/>
      </rPr>
      <t>2</t>
    </r>
    <r>
      <rPr>
        <sz val="12"/>
        <rFont val="Arial"/>
        <family val="2"/>
      </rPr>
      <t>e/ inhaler (as per PSCI emission calculations)</t>
    </r>
  </si>
  <si>
    <r>
      <t>93.06 gCO</t>
    </r>
    <r>
      <rPr>
        <vertAlign val="subscript"/>
        <sz val="12"/>
        <rFont val="Arial"/>
        <family val="2"/>
      </rPr>
      <t>2</t>
    </r>
    <r>
      <rPr>
        <sz val="12"/>
        <rFont val="Arial"/>
        <family val="2"/>
      </rPr>
      <t>e/inhaler. The company calculates waste at an enterprise level. Product level attribution is based on weight of the product manufactured.</t>
    </r>
  </si>
  <si>
    <r>
      <t>46.43 gCO</t>
    </r>
    <r>
      <rPr>
        <vertAlign val="subscript"/>
        <sz val="12"/>
        <rFont val="Arial"/>
        <family val="2"/>
      </rPr>
      <t>2</t>
    </r>
    <r>
      <rPr>
        <sz val="12"/>
        <rFont val="Arial"/>
        <family val="2"/>
      </rPr>
      <t xml:space="preserve">e/ inhaler  The company calculates HF leaks and air emissions at an enterprise level. Product level attribution is based on weight of the product manufactured. </t>
    </r>
  </si>
  <si>
    <r>
      <t>93.06 gCO</t>
    </r>
    <r>
      <rPr>
        <vertAlign val="subscript"/>
        <sz val="12"/>
        <rFont val="Arial"/>
        <family val="2"/>
      </rPr>
      <t>2</t>
    </r>
    <r>
      <rPr>
        <sz val="12"/>
        <rFont val="Arial"/>
        <family val="2"/>
      </rPr>
      <t>e/inhaler The company calculates waste at an enterprise level. Product level attribution is based on weight of the product manufactured.</t>
    </r>
  </si>
  <si>
    <r>
      <t>17,368 grams CO</t>
    </r>
    <r>
      <rPr>
        <vertAlign val="subscript"/>
        <sz val="12"/>
        <rFont val="Arial"/>
        <family val="2"/>
      </rPr>
      <t xml:space="preserve">2 </t>
    </r>
  </si>
  <si>
    <r>
      <t>14.71  gCO</t>
    </r>
    <r>
      <rPr>
        <vertAlign val="subscript"/>
        <sz val="12"/>
        <rFont val="Arial"/>
        <family val="2"/>
      </rPr>
      <t>2</t>
    </r>
    <r>
      <rPr>
        <sz val="12"/>
        <rFont val="Arial"/>
        <family val="2"/>
      </rPr>
      <t>e/inhaler The company calculates waste at an enterprise level. Product level attribution is based on weight of the product manufactured.</t>
    </r>
  </si>
  <si>
    <r>
      <t>40 gCO</t>
    </r>
    <r>
      <rPr>
        <vertAlign val="subscript"/>
        <sz val="12"/>
        <rFont val="Arial"/>
        <family val="2"/>
      </rPr>
      <t>2</t>
    </r>
    <r>
      <rPr>
        <sz val="12"/>
        <rFont val="Arial"/>
        <family val="2"/>
      </rPr>
      <t>e/inhaler The company calculates HF leaks and air emissions at an enterprise level. Product level attribution is based on weight of the product manufactured.</t>
    </r>
  </si>
  <si>
    <r>
      <t>16237 gCO</t>
    </r>
    <r>
      <rPr>
        <vertAlign val="subscript"/>
        <sz val="12"/>
        <rFont val="Arial"/>
        <family val="2"/>
      </rPr>
      <t>2</t>
    </r>
    <r>
      <rPr>
        <sz val="12"/>
        <rFont val="Arial"/>
        <family val="2"/>
      </rPr>
      <t>e (120  actuations)</t>
    </r>
  </si>
  <si>
    <t>Each delivered dose (the dose that leaves the mouthpiece) contains 160 micrograms of budesonide and 4.5 micrograms of formoterol fumarate dihydrate.This is equivalent to a metered dose of 200 micrograms budesonide and 6 micrograms of formoterol fumarate dihydrate.</t>
  </si>
  <si>
    <t>Each delivered dose (the dose that leaves the mouthpiece) contains 320 micrograms of budesonide and 9 micrograms of formoterol fumarate dihydrate. This is equivalent to a metered dose of 400 micrograms budesonide and 12 micrograms of formoterol fumarate dihydrate.</t>
  </si>
  <si>
    <r>
      <t>Please state how the carbon footprint per actuation (g CO</t>
    </r>
    <r>
      <rPr>
        <b/>
        <vertAlign val="subscript"/>
        <sz val="12"/>
        <rFont val="Arial"/>
        <family val="2"/>
      </rPr>
      <t>2</t>
    </r>
    <r>
      <rPr>
        <b/>
        <sz val="12"/>
        <rFont val="Arial"/>
        <family val="2"/>
      </rPr>
      <t>e) was calculated where this information is available</t>
    </r>
    <r>
      <rPr>
        <b/>
        <vertAlign val="superscript"/>
        <sz val="12"/>
        <rFont val="Arial"/>
        <family val="2"/>
      </rPr>
      <t>7</t>
    </r>
  </si>
  <si>
    <r>
      <t>Inhaler carbon footprint attributed to raw materials API and excipients manufacturing per inhaler (including the propellant) (g CO</t>
    </r>
    <r>
      <rPr>
        <b/>
        <vertAlign val="subscript"/>
        <sz val="12"/>
        <rFont val="Arial"/>
        <family val="2"/>
      </rPr>
      <t>2</t>
    </r>
    <r>
      <rPr>
        <b/>
        <sz val="12"/>
        <rFont val="Arial"/>
        <family val="2"/>
      </rPr>
      <t>e)</t>
    </r>
    <r>
      <rPr>
        <b/>
        <vertAlign val="superscript"/>
        <sz val="12"/>
        <rFont val="Arial"/>
        <family val="2"/>
      </rPr>
      <t>7</t>
    </r>
    <r>
      <rPr>
        <b/>
        <sz val="12"/>
        <rFont val="Arial"/>
        <family val="2"/>
      </rPr>
      <t xml:space="preserve"> </t>
    </r>
  </si>
  <si>
    <r>
      <t>Inhaler carbon footprint attributed to raw materials inhaler device components per inhaler (g CO</t>
    </r>
    <r>
      <rPr>
        <b/>
        <vertAlign val="subscript"/>
        <sz val="12"/>
        <rFont val="Arial"/>
        <family val="2"/>
      </rPr>
      <t>2</t>
    </r>
    <r>
      <rPr>
        <b/>
        <sz val="12"/>
        <rFont val="Arial"/>
        <family val="2"/>
      </rPr>
      <t>e)</t>
    </r>
    <r>
      <rPr>
        <b/>
        <vertAlign val="superscript"/>
        <sz val="12"/>
        <rFont val="Arial"/>
        <family val="2"/>
      </rPr>
      <t>7</t>
    </r>
    <r>
      <rPr>
        <b/>
        <sz val="12"/>
        <rFont val="Arial"/>
        <family val="2"/>
      </rPr>
      <t xml:space="preserve"> </t>
    </r>
  </si>
  <si>
    <r>
      <t>Inhaler carbon footprint attributed to raw materials for packaging per inhaler (g CO</t>
    </r>
    <r>
      <rPr>
        <b/>
        <vertAlign val="subscript"/>
        <sz val="12"/>
        <rFont val="Arial"/>
        <family val="2"/>
      </rPr>
      <t>2</t>
    </r>
    <r>
      <rPr>
        <b/>
        <sz val="12"/>
        <rFont val="Arial"/>
        <family val="2"/>
      </rPr>
      <t>e)</t>
    </r>
    <r>
      <rPr>
        <b/>
        <vertAlign val="superscript"/>
        <sz val="12"/>
        <rFont val="Arial"/>
        <family val="2"/>
      </rPr>
      <t>7</t>
    </r>
  </si>
  <si>
    <r>
      <t>Inhaler carbon footprint attributed to raw materials transportation per inhaler (g CO</t>
    </r>
    <r>
      <rPr>
        <b/>
        <vertAlign val="subscript"/>
        <sz val="12"/>
        <rFont val="Arial"/>
        <family val="2"/>
      </rPr>
      <t>2</t>
    </r>
    <r>
      <rPr>
        <b/>
        <sz val="12"/>
        <rFont val="Arial"/>
        <family val="2"/>
      </rPr>
      <t>e)</t>
    </r>
    <r>
      <rPr>
        <b/>
        <vertAlign val="superscript"/>
        <sz val="12"/>
        <rFont val="Arial"/>
        <family val="2"/>
      </rPr>
      <t>7</t>
    </r>
  </si>
  <si>
    <r>
      <t>Carbon footprint attributed to energy and water consumption per inhaler (g CO</t>
    </r>
    <r>
      <rPr>
        <b/>
        <vertAlign val="subscript"/>
        <sz val="12"/>
        <rFont val="Arial"/>
        <family val="2"/>
      </rPr>
      <t>2</t>
    </r>
    <r>
      <rPr>
        <b/>
        <sz val="12"/>
        <rFont val="Arial"/>
        <family val="2"/>
      </rPr>
      <t>e)</t>
    </r>
    <r>
      <rPr>
        <b/>
        <vertAlign val="superscript"/>
        <sz val="12"/>
        <rFont val="Arial"/>
        <family val="2"/>
      </rPr>
      <t>7</t>
    </r>
  </si>
  <si>
    <r>
      <t>Carbon footprint attributed to HF leaks and air emissions per inhaler (g CO</t>
    </r>
    <r>
      <rPr>
        <b/>
        <vertAlign val="subscript"/>
        <sz val="12"/>
        <rFont val="Arial"/>
        <family val="2"/>
      </rPr>
      <t>2</t>
    </r>
    <r>
      <rPr>
        <b/>
        <sz val="12"/>
        <rFont val="Arial"/>
        <family val="2"/>
      </rPr>
      <t>e)</t>
    </r>
    <r>
      <rPr>
        <b/>
        <vertAlign val="superscript"/>
        <sz val="12"/>
        <rFont val="Arial"/>
        <family val="2"/>
      </rPr>
      <t>7</t>
    </r>
  </si>
  <si>
    <r>
      <t>Carbon footprint attributed to distribution and transportation per inhaler (g CO</t>
    </r>
    <r>
      <rPr>
        <b/>
        <vertAlign val="subscript"/>
        <sz val="12"/>
        <rFont val="Arial"/>
        <family val="2"/>
      </rPr>
      <t>2</t>
    </r>
    <r>
      <rPr>
        <b/>
        <sz val="12"/>
        <rFont val="Arial"/>
        <family val="2"/>
      </rPr>
      <t>e)</t>
    </r>
    <r>
      <rPr>
        <b/>
        <vertAlign val="superscript"/>
        <sz val="12"/>
        <rFont val="Arial"/>
        <family val="2"/>
      </rPr>
      <t>7</t>
    </r>
  </si>
  <si>
    <r>
      <t>Carbon footprint attributed to user phase  per inhaler (g CO</t>
    </r>
    <r>
      <rPr>
        <b/>
        <vertAlign val="subscript"/>
        <sz val="12"/>
        <rFont val="Arial"/>
        <family val="2"/>
      </rPr>
      <t>2</t>
    </r>
    <r>
      <rPr>
        <b/>
        <sz val="12"/>
        <rFont val="Arial"/>
        <family val="2"/>
      </rPr>
      <t>e)</t>
    </r>
    <r>
      <rPr>
        <b/>
        <vertAlign val="superscript"/>
        <sz val="12"/>
        <rFont val="Arial"/>
        <family val="2"/>
      </rPr>
      <t>7</t>
    </r>
  </si>
  <si>
    <r>
      <t>Carbon footprint attributed to end of life per inhaler (g CO</t>
    </r>
    <r>
      <rPr>
        <b/>
        <vertAlign val="subscript"/>
        <sz val="12"/>
        <rFont val="Arial"/>
        <family val="2"/>
      </rPr>
      <t>2</t>
    </r>
    <r>
      <rPr>
        <b/>
        <sz val="12"/>
        <rFont val="Arial"/>
        <family val="2"/>
      </rPr>
      <t>e)</t>
    </r>
    <r>
      <rPr>
        <b/>
        <vertAlign val="superscript"/>
        <sz val="12"/>
        <rFont val="Arial"/>
        <family val="2"/>
      </rPr>
      <t>7</t>
    </r>
  </si>
  <si>
    <r>
      <t>Carbon footprint attributed to other carbon emission data held per inhaler (g CO</t>
    </r>
    <r>
      <rPr>
        <b/>
        <vertAlign val="subscript"/>
        <sz val="12"/>
        <rFont val="Arial"/>
        <family val="2"/>
      </rPr>
      <t>2</t>
    </r>
    <r>
      <rPr>
        <b/>
        <sz val="12"/>
        <rFont val="Arial"/>
        <family val="2"/>
      </rPr>
      <t>e)</t>
    </r>
    <r>
      <rPr>
        <b/>
        <vertAlign val="superscript"/>
        <sz val="12"/>
        <rFont val="Arial"/>
        <family val="2"/>
      </rPr>
      <t>7</t>
    </r>
  </si>
  <si>
    <t>Link</t>
  </si>
  <si>
    <t>https://www.medicines.org.uk/emc/</t>
  </si>
  <si>
    <t>https://www.ema.europa.eu/en/glossary/european-public-assessment-report</t>
  </si>
  <si>
    <t>https://products.mhra.gov.uk/</t>
  </si>
  <si>
    <t>www.cddata.co.uk</t>
  </si>
  <si>
    <t xml:space="preserve">https://services.nhsbsa.nhs.uk/dmd-browser/ </t>
  </si>
  <si>
    <t>Estimated representative values for the various strengths of Soprobec re-based on a revised GWP value of 1430 for HFA-134a. We have re-based this calculation on the highest value from an Intergovernmental Panel on Climate Change report (https://www.ghgprotocol.org/sites/default/files/ghgp/Global-Warming-Potential-Values%20%28Feb%2016%202016%29_1.pdf).</t>
  </si>
  <si>
    <t>tiotropium 18 micrograms inhalation powder, hard capsules</t>
  </si>
  <si>
    <t>Trimbow NEXThaler (DPI) 88 micrograms/ 5 micrograms/ 9 micrograms per actuation inhalation powder</t>
  </si>
  <si>
    <t>beclometasone 88 micrograms/ formoterol 5 micrograms/ glycopyrronium 9 micrograms/puff</t>
  </si>
  <si>
    <t>5 (distribution)</t>
  </si>
  <si>
    <t>Spiriva 18 micrograms inhalation powder plus HandiHaler device</t>
  </si>
  <si>
    <t>salbutamol 100 micrograms/puff cartridge</t>
  </si>
  <si>
    <t>SPC specifies the concomitant asthma treatment the person should be on with Spiriva Respimat, which varies according to age group. Assumes using one device with refill cartridges every 6 months.</t>
  </si>
  <si>
    <t>Striverdi Respimat 2.5 micrograms, solution for inhalation refill cartridge</t>
  </si>
  <si>
    <t xml:space="preserve">12147011000001104 </t>
  </si>
  <si>
    <t>37677811000001105</t>
  </si>
  <si>
    <t>24608111000001102</t>
  </si>
  <si>
    <t>37678411000001107</t>
  </si>
  <si>
    <r>
      <t>In line with Scope 3 emissions calculations method for use of sold products by PSCI. The method is: [Propellant used by weight in one product (R134a) in kg X global warming potential for R134 per kg (1300) / number of metered dose or actuations per product ] x 1000 = gram CO</t>
    </r>
    <r>
      <rPr>
        <vertAlign val="subscript"/>
        <sz val="12"/>
        <rFont val="Arial"/>
        <family val="2"/>
      </rPr>
      <t>2</t>
    </r>
    <r>
      <rPr>
        <sz val="12"/>
        <rFont val="Arial"/>
        <family val="2"/>
      </rPr>
      <t xml:space="preserve">e </t>
    </r>
  </si>
  <si>
    <t>Spiolto Respimat 2.5 micrograms/2.5 micrograms, inhalation solution plus Respimat device</t>
  </si>
  <si>
    <t>Assumes using one device with refill cartridges every 6 months.</t>
  </si>
  <si>
    <t>37678111000001102</t>
  </si>
  <si>
    <t>Spiolto Respimat 2.5 micrograms/2.5 micrograms, inhalation solution refill cartridge</t>
  </si>
  <si>
    <t>Spiriva Respimat 2.5 micrograms, inhalation solution refill cartridge</t>
  </si>
  <si>
    <t>Spiriva Respimat 2.5 micrograms, inhalation solution plus Respimat device</t>
  </si>
  <si>
    <t>Striverdi Respimat 2.5 micrograms, solution for inhalation cartridge plus Respimat device</t>
  </si>
  <si>
    <t>Asthma 12+; COPD 18+</t>
  </si>
  <si>
    <t>Changes from v2.8</t>
  </si>
  <si>
    <t>Ipravent deleted as it has been discontinued</t>
  </si>
  <si>
    <t>WockAIR 160 micrograms/4.5 micrograms/dose dry powder inhaler</t>
  </si>
  <si>
    <t>WockAIR 320 micrograms/9 micrograms/dose dry powder inhaler</t>
  </si>
  <si>
    <t>Wockhardt UK Ltd</t>
  </si>
  <si>
    <t>40106111000001101</t>
  </si>
  <si>
    <t>40106311000001104</t>
  </si>
  <si>
    <t>Manufacturer states that Wockair is supplied in the same device as the Airflusal Forspiro and that WockAIR would present the same values as this inhaler.</t>
  </si>
  <si>
    <t>Changes from v2.2</t>
  </si>
  <si>
    <t>Fusacomb Easyhaler 50/250 - manufacturer clarified licensed for asthma only. Removed 'and COPD' from column D.</t>
  </si>
  <si>
    <t>Tiogiva capsules and device and capsule price reductions - £19.20 Tiogiva 30 capsules; £19.99 Tiogiva 30 capsules with device packs. Prices amended in v2.3</t>
  </si>
  <si>
    <t>Changes from v2.3</t>
  </si>
  <si>
    <t>Soprobec inhalers all strengths - manufacturer submitted carbon footprint data per actuation, so this new data added to v2.3.</t>
  </si>
  <si>
    <t>New inhaler Trimbow NEXThaler added to v2.4</t>
  </si>
  <si>
    <t>Separate lines added for Spriva capsules and Spiriva HandiHaler plus capsules</t>
  </si>
  <si>
    <t>Line AA71 corrected to 'small volume'</t>
  </si>
  <si>
    <t>Spiriva Respimat refill added to the spreadsheet.</t>
  </si>
  <si>
    <t>Easyhaler Budesonide 400mcg carbon footprint value changed to be the same as Easyhaler Budesonide 200microgram 200 dose inhaler as previous assumption incorrect.</t>
  </si>
  <si>
    <t>Yanimo Respimat carbon footprint value corrected (manufacturers error completing the spreadsheet).</t>
  </si>
  <si>
    <t>Respimat carbon footprint values corrected for Striverdi and Spiriva (manufacturers error completing spreadsheet).</t>
  </si>
  <si>
    <t>#REF for 3 inhalers in column N corrected.</t>
  </si>
  <si>
    <t>Stalpex price per inhaler changed to £16.37</t>
  </si>
  <si>
    <t>Trixeo carbon footprint value corrected</t>
  </si>
  <si>
    <t>Changes from 2.7</t>
  </si>
  <si>
    <t>Changes from 2.6</t>
  </si>
  <si>
    <t>Changes log added</t>
  </si>
  <si>
    <t>Airflusal forspiro propellant error removed</t>
  </si>
  <si>
    <t>Non-published changes made and document circulated to PrescQIPP team - changes discussed not made and so v2.5 not published.</t>
  </si>
  <si>
    <t>Changes from 2.4 / 2.5</t>
  </si>
  <si>
    <t>Trixeo carbon footprint value changed (in error, see below)</t>
  </si>
  <si>
    <t>Changes from v2.9</t>
  </si>
  <si>
    <t>Propellant only</t>
  </si>
  <si>
    <t>Alvesco manufacturer changed to Covis Pharma</t>
  </si>
  <si>
    <t>Propellant or product lifecycle column added and data entered from manufacturers survey</t>
  </si>
  <si>
    <t>Changes from 2.10</t>
  </si>
  <si>
    <t>Luforbec 100/6 pMDI carbon footprint estimation information from manufacturer added</t>
  </si>
  <si>
    <t>Fixkoh Airmaster 50/500 price change £16.12.</t>
  </si>
  <si>
    <t>Wockair carbon footprint values entered the same as Airflusal Forspiro in line with manufacturers information.</t>
  </si>
  <si>
    <t>Changes from 2.10.1</t>
  </si>
  <si>
    <t>References dates last accessed updated.</t>
  </si>
  <si>
    <t>Corrected Budelin Novolizer 200 micrograms snomed code</t>
  </si>
  <si>
    <t>8031911000001107</t>
  </si>
  <si>
    <t>New inhaler Seffalair Spiromax launched. Manufacturer states that no carbon footprint information is currently available. 31/1/22.</t>
  </si>
  <si>
    <t>Luforbec 100/6 micrograms per actuation pressurised inhalation solution</t>
  </si>
  <si>
    <t>24644711000001104</t>
  </si>
  <si>
    <t>13533811000001101</t>
  </si>
  <si>
    <t>39993411000001103</t>
  </si>
  <si>
    <t>3185011000001108</t>
  </si>
  <si>
    <t>3184411000001100</t>
  </si>
  <si>
    <t>2830011000001108</t>
  </si>
  <si>
    <t>3378811000001107</t>
  </si>
  <si>
    <t>36506911000001101</t>
  </si>
  <si>
    <t>7390011000001102</t>
  </si>
  <si>
    <t>13777111000001101</t>
  </si>
  <si>
    <t>Line 72 Added in 'Discontinued in January 2022' to comments box - Intal CFC-free inhaler.</t>
  </si>
  <si>
    <t>BRAND_NAME</t>
  </si>
  <si>
    <t>2831011000001108</t>
  </si>
  <si>
    <t>Atrovent 20 micrograms      </t>
  </si>
  <si>
    <t>Amended SNOMED codes as below:</t>
  </si>
  <si>
    <t>Spelling error corrected Luforbec micrograms instead of 'microgramss'</t>
  </si>
  <si>
    <t>Adjusted number of puffs per 28 days based on feedback for:</t>
  </si>
  <si>
    <t>Soprobec 100 micrograms from 56 to 112</t>
  </si>
  <si>
    <t>Clenil Modulite 50 micrograms from 224 to 112</t>
  </si>
  <si>
    <t>Kelhale 50 micrograms from 112 to 56</t>
  </si>
  <si>
    <t>Soprobec 50 micrograms from 224 to 112</t>
  </si>
  <si>
    <t>Airomir 100 micrograms from 30 to 28</t>
  </si>
  <si>
    <t>Airomir Autohaler 100 micrograms from 30 to 28</t>
  </si>
  <si>
    <t>Easyhaler Salbutamol 100 micrograms from 30 to 28</t>
  </si>
  <si>
    <t>Salamol CFC-Free Inhaler  100 micrograms 30 to 28</t>
  </si>
  <si>
    <t>Salamol Easi-Breathe 100 micrograms 30 to 28</t>
  </si>
  <si>
    <t>Ventolin Evohaler 100 micrograms 30 to 28</t>
  </si>
  <si>
    <t>Salbulin Novolizer 100 micrograms (cartridge + inhaler) 30 to 28</t>
  </si>
  <si>
    <t>Salbulin Novolizer 100 micrograms (cartridge only) 30 to 28</t>
  </si>
  <si>
    <t>Easyhaler Salbutamol 200 micrograms 30 to 28</t>
  </si>
  <si>
    <t>Ventolin Accuhaler 200 micrograms 18 to 28</t>
  </si>
  <si>
    <t>Bricanyl Turbohaler 500 micrograms 18 to 28</t>
  </si>
  <si>
    <t>Easyhaler Budesonide 100 micrograms 112 to 56</t>
  </si>
  <si>
    <t>Amended SNOMED CODE to</t>
  </si>
  <si>
    <t>Device type changed to pMDI (breath actuated) for Airomir autohaler and Salamol Easi-breathe</t>
  </si>
  <si>
    <t>39607311000001104</t>
  </si>
  <si>
    <t>Changes from 2.11</t>
  </si>
  <si>
    <t>Changes from 2.12</t>
  </si>
  <si>
    <t>Tiogiva 18micrograms 30 capsules snomed code changed to 39607311000001104</t>
  </si>
  <si>
    <t>Seffalair spiromax 12.75microgram/202microgram DPI snomed code changed to '40445011000001101</t>
  </si>
  <si>
    <t>Seffalair spiromax 12.75microgram/100microgram DPI snomed code changed to '40445211000001106</t>
  </si>
  <si>
    <t>Column X header 'Snowmed' spelling error corrected.</t>
  </si>
  <si>
    <t>Certified as Carbon Neutral by the Carbon Trust CERT-13203 
Cradle to grave calculation performed and certified by the Carbon Trust CERT_12868</t>
  </si>
  <si>
    <t>Carbon neutral status added for Trelegy Ellipta and Easyhaler Beclometasone, Easyhaler Budesonide, Easyhaler Formoterol, Easyhaler Salbutamol, Fobumix Easyhaler,  Fusacomb Easyhaler.</t>
  </si>
  <si>
    <t>Carbon neutral</t>
  </si>
  <si>
    <t>New column  S add for 'carbon neutral' status as two manufacturers have now offset their carbon footprint of their inhalers by planting forests and have received independently verified carbon neutral status certification.</t>
  </si>
  <si>
    <t>Stalpex inhaler price reduction £16.12</t>
  </si>
  <si>
    <t>Changes from 2.13</t>
  </si>
  <si>
    <t>Avenor 25micrograms / 50micrograms</t>
  </si>
  <si>
    <t>Zentiva</t>
  </si>
  <si>
    <t>Avenor 25micrograms / 125micrograms</t>
  </si>
  <si>
    <t>Avenor 25micrograms / 250micrograms</t>
  </si>
  <si>
    <t>40034311000001107</t>
  </si>
  <si>
    <t>40040811000001109</t>
  </si>
  <si>
    <t>40041011000001107</t>
  </si>
  <si>
    <t>Avenor 25micrograms / 50micrograms, Avenor 25micrograms / 125micrograms, Avenor 25micrograms / 250micrograms added- carbon footprint estimates</t>
  </si>
  <si>
    <t>Sereflo 25/250microgram Ciphaler added - manufacturer asked for carbon footprint data awaiting this.</t>
  </si>
  <si>
    <t>Changes from 2.14</t>
  </si>
  <si>
    <t>Luforbec manufacturers carbon footprint data and carbon neutral status added.</t>
  </si>
  <si>
    <t>Beclometasone dipropionate in Luforbec is characterised by an extrafine particle size distribution which results in a more potent effect than formulations of beclometasone dipropionate with a non-extrafine particle size distribution (100 micrograms of beclometasone dipropionate extrafine in Luforbec are equivalent to 250 micrograms of beclometasone dipropionate in a non-extrafine formulation).</t>
  </si>
  <si>
    <t>Changes from 2.15</t>
  </si>
  <si>
    <t>Combisal price change for 25/250microgram inhaler to from £27.99 to £13.99</t>
  </si>
  <si>
    <t>Combisal price change for 25/125microgram inhaler to from £17.59 to £10.48</t>
  </si>
  <si>
    <t>Flixotide accuhaler 50 microgram price reduction to £4.00</t>
  </si>
  <si>
    <t>Flixotide accuhaler 100 microgram price reduction to £4.02</t>
  </si>
  <si>
    <t>Flixotide accuhaler 250 microgram price reduction to £4.23</t>
  </si>
  <si>
    <t>Flixotide accuhaler 500 microgram price reduction to £4.73</t>
  </si>
  <si>
    <t>Ventolin accuhaler 200 microgram price reduction to £1.99</t>
  </si>
  <si>
    <t>Changes from 2.16</t>
  </si>
  <si>
    <t>Luforbec  100/6 changes made to columns AD-AH; AK-AM; AP-AQ</t>
  </si>
  <si>
    <t>Changes from 2.17</t>
  </si>
  <si>
    <t>Luforbec 200/6 pMDI added</t>
  </si>
  <si>
    <t>Luforbec 100/6 pMDI changes made to carbon footprint values</t>
  </si>
  <si>
    <t>Luforbec 200/6 micrograms per actuation pressurised inhalation solution</t>
  </si>
  <si>
    <t>40852411000001105</t>
  </si>
  <si>
    <t>Trimbow 172 micrograms/ 5 micrograms/ 9 micrograms pressurised inhalation, solution</t>
  </si>
  <si>
    <t>beclometasone 172 micrograms/ formoterol 5 micrograms/ glycopyrronium 9 micrograms/puff</t>
  </si>
  <si>
    <t>40752411000001108</t>
  </si>
  <si>
    <t>Trimbow pMDI 172/5/9  micrograms added; carbon footprint assumed same as 87/5/9 strength Trimbow pMDI.</t>
  </si>
  <si>
    <t>tiotropium 18 micrograms/puff</t>
  </si>
  <si>
    <t>30</t>
  </si>
  <si>
    <t>39666411000001105</t>
  </si>
  <si>
    <t>Acopair 18 microgram inhalation powder capsules with NeumoHaler (Viatris UK Healthcare Ltd) 30 capsules added; Estimated carbon footprint information from literature.</t>
  </si>
  <si>
    <t>Changes from 2.18</t>
  </si>
  <si>
    <t>Trimbow pMDI 172/5/9  micrograms carbon footprint values amended in line with information from manufacturer.</t>
  </si>
  <si>
    <t>Changes from 2.19</t>
  </si>
  <si>
    <t>Beclu 100 and 200 pMDI added</t>
  </si>
  <si>
    <t xml:space="preserve">Specific ages for adults and children not stated in SPC. </t>
  </si>
  <si>
    <t>41475711000001106</t>
  </si>
  <si>
    <t xml:space="preserve">Certified carbon neutral product by Carbon Footprint Ltd. Data provided is based on the manufacturing of Beclu 100mcg from Indore (India). </t>
  </si>
  <si>
    <t>Not recommended for children (no age specified)</t>
  </si>
  <si>
    <t>41476411000001109</t>
  </si>
  <si>
    <t xml:space="preserve">Certified carbon neutral product by Carbon Footprint Ltd. Data provided is based on the manufacturing of Beclu 200mcg from Indore (India). </t>
  </si>
  <si>
    <t>Bibecfo 100/6 micrograms per actuation pressurised inhalation solution</t>
  </si>
  <si>
    <t>Bibecfo 200/6 micrograms per actuation pressurised inhalation solution</t>
  </si>
  <si>
    <t>41966211000001104</t>
  </si>
  <si>
    <t>41964111000001103</t>
  </si>
  <si>
    <t>Changes from 2.20</t>
  </si>
  <si>
    <t>Bibecfo 100 and 200 pMDI added</t>
  </si>
  <si>
    <t>Changes from 2.21</t>
  </si>
  <si>
    <t>Luforbec 100/6 carbon footprint values amended in line with manufacturer notification</t>
  </si>
  <si>
    <t>Changes from 2.22</t>
  </si>
  <si>
    <t>Sereflo Ciphaler 50/250 micrograms</t>
  </si>
  <si>
    <t>3187111000001100</t>
  </si>
  <si>
    <t>Sereflo Ciphaler 50/500 micrograms</t>
  </si>
  <si>
    <t>41619311000001100</t>
  </si>
  <si>
    <t>Seffalair Spiromax 12.75/100 micrograms no longer available in the UK added as advised by the manufacturer so deleted.</t>
  </si>
  <si>
    <t>Seffalair Spiromax 12.75/202 micrograms no longer available in the UK as advised by the manufacturer so deleted.</t>
  </si>
  <si>
    <t>Luforbec 100/6 pMDI data updated in line with manufacturer notification.</t>
  </si>
  <si>
    <t>Changes from 2.23</t>
  </si>
  <si>
    <t>Luforbec 100/6 and 200/6 pMDIs price redution to £13.98 per inhaler</t>
  </si>
  <si>
    <t>Added GoResp Digihaler 160/4.5 and 320/9 DPIs</t>
  </si>
  <si>
    <t>Duaklir Genuair 340micrograms/12micrograms inhalation powder</t>
  </si>
  <si>
    <t>Changes from 2.24</t>
  </si>
  <si>
    <t>Bibecfo 100/6 and 200/6 pMDI carbon footprint data clarified as for the propellant only</t>
  </si>
  <si>
    <t>Changes from 2.25</t>
  </si>
  <si>
    <t>Fostair pMDI PCRS added in</t>
  </si>
  <si>
    <t>Changes from 2.26</t>
  </si>
  <si>
    <t>Updated carbon footprint information to include propellant only figures and life cycle figures separately for Beclu and Luforbec from Lupin.</t>
  </si>
  <si>
    <t>In order to assist comparisons between other beclometasone pMDI preparations Lupin Healthcare have provided both propellant only and LCA data. The indicative mid-point value/puff (column M) and  /inhaler (column N) are those of the propellant only. These data have been calculated in line with Scope 3 emissions calculations method for use of sold products by PSCI (https://www.google.com/url?sa=t&amp;rct=j&amp;q=&amp;esrc=s&amp;source=web&amp;cd=&amp;ved=2ahUKEwisgNzXwf2CAxVahP0HHY7pCGYQFnoECA8QAQ&amp;url=https%3A%2F%2Fpscinitiative.org%2FdownloadResourceFile%3Fresource%3D779&amp;usg=AOvVaw2S9BVQA8xoK37mMw-ObBjb&amp;opi=89978449). A Cradle to Grave carbon footprint Life Cycle Assessment for Beclu (data on file) has been performed by Carbon Footprint Ltd., who are ISO 14001:2015 and ISO 9001:2015 certified (www.carbonfootprint.com). The product assessment follows the principles outlined by the Greenhouse Gas Protocol and ISO 14067:2018, and is based on product sourced from Lupin Indore (India). Certificates from Carbon Footprint Ltd for Carbon Assessment and Carbon neutrality are available.</t>
  </si>
  <si>
    <t>Changes from 2.27</t>
  </si>
  <si>
    <t>Moved column AS 'Carbon footprint attributed to propellant only or product lifecycle' next to Column N 'Indicative carbon footprint/inhaler (g CO2e) Midpoint value7,8 so that it is clear where the carbon footprint information relates to.</t>
  </si>
  <si>
    <t>Added in the methodology used to produce the inhaler table table as an introduction to the table. The reference is PrescQIPP bulletin 295 inhaler carbon footprint.</t>
  </si>
  <si>
    <t>Changes from 2.28</t>
  </si>
  <si>
    <t>Added in carbon neutral status for Fostair, Clenil, Trimbow and Atimos pMDIs</t>
  </si>
  <si>
    <t>Changes from 2.29</t>
  </si>
  <si>
    <t>Fostair Nexthaler 100/6 and 2000/6 DPIs carbon neutral status added and updated further information on the carbon footprint of this product.</t>
  </si>
  <si>
    <t>Trimbow Nexthaler DPI carbon neutral status added and amended the product lifecycle carbon footprint values in line with manufacturers information.</t>
  </si>
  <si>
    <t>Trimbow 172 micrograms/ 5 micrograms/ 9 micrograms pressurised inhalation, solution amended the product lifecylce carbon footprint values and how the carbon footprint was calculated explanation and further information on the carbon footprint of the product.</t>
  </si>
  <si>
    <t>Trimbow 87 micrograms/ 5 micrograms/ 9 micrograms pressurised inhalation, solution amended to 'small volume' inhaler and further information on the carbon footprint of this product.</t>
  </si>
  <si>
    <t>https://www.prescqipp.info/our-resources/bulletins/bulletin-295-inhaler-carbon-footprint/</t>
  </si>
  <si>
    <t>Added last updated date and took off therapeutic group filter</t>
  </si>
  <si>
    <t>Changes from 2.31</t>
  </si>
  <si>
    <t>Changes from 2.30</t>
  </si>
  <si>
    <t>Changed column AQ for Clenil, Fostair and Trimbow pMDIs to 'Completion of the clinical development of low carbon propellant inhalers by the end of 2025. Subsequent introduction to the UK market will take place following regulatory approval.'</t>
  </si>
  <si>
    <t>Yes, Lupin Research is actively exploring options for incorporating low GWP propellants for use in its pMDIs.</t>
  </si>
  <si>
    <t>Changes from 2.32</t>
  </si>
  <si>
    <t>For Beclu 100, Beclu 200, Luforbec 100/6 and Luforbec 2006:                                                                                                                                                                                                                                                                                       1.	Column O – changed to read ‘Both propellant only and Product Lifecycle data has been provided. See column AD for details’ 
2.	Column AP – changed to read ‘Yes, Lupin Research is actively exploring options for incorporating low GWP propellants for use in its pMDIs.’
3.	Column AQ – left blank</t>
  </si>
  <si>
    <t>Changes from 2.33</t>
  </si>
  <si>
    <t>Luforbec 100/6 and Luforbec 2006:</t>
  </si>
  <si>
    <t>1. Column AP – change to read ‘Yes’
2. Column AQ – change to read ‘Completion of low carbon propellant inhaler development work expected within 2026. Subsequent introduction to the UK market will take place following regulatory approval.’</t>
  </si>
  <si>
    <t>Advanz Pharma</t>
  </si>
  <si>
    <t>Some data points are reffered from originator, own data will be updated in 12 months time</t>
  </si>
  <si>
    <t xml:space="preserve">Ciclesonide Advanz Pharma 160 micrograms </t>
  </si>
  <si>
    <t xml:space="preserve">Ciclesonide Advanz Pharma 80 micrograms </t>
  </si>
  <si>
    <t>Changes from 2.34</t>
  </si>
  <si>
    <t>Add in two new inhalers:</t>
  </si>
  <si>
    <t>Ciclesonide Advanz Pharma 160 micrograms pMDI</t>
  </si>
  <si>
    <t xml:space="preserve">Ciclesonide Advanz Pharma 80 micrograms pMDI </t>
  </si>
  <si>
    <t>Changes from 2.35</t>
  </si>
  <si>
    <t>Age ranges for doses for AIR therapy added to lines 45, 142 and 154</t>
  </si>
  <si>
    <t>Genesis Pharmaceuticals</t>
  </si>
  <si>
    <t>Added in new column for dose counter and entered data for each inhaler.</t>
  </si>
  <si>
    <t>Deleted Foradil, GoResp, Intal, Atectura 125/260, Atectura 125/62.5, and Neovent inhalers as they have been discontinued.</t>
  </si>
  <si>
    <t>Added in Campona AIRMASTER x3 strengths. Carbon footprint information not available. 'Low' carbon footprint inhaler as it is a DPI.</t>
  </si>
  <si>
    <t>Age 12+: Two inhalations twice daily. One additional inhalation as needed. No more than 6 inhalations on a single occasion. Maximum 8 to 12 inhalations daily.</t>
  </si>
  <si>
    <t>Two inhalations twice daily</t>
  </si>
  <si>
    <t>One inhalation twice daily</t>
  </si>
  <si>
    <t>One or two inhalations twice daily</t>
  </si>
  <si>
    <t>Three or four inhalations twice daily</t>
  </si>
  <si>
    <t>Four inhalations twice daily</t>
  </si>
  <si>
    <t>Five to eight inhalations twice daily</t>
  </si>
  <si>
    <t>Three to four inhalations twice daily</t>
  </si>
  <si>
    <t>One inhalation daily</t>
  </si>
  <si>
    <t>One or two inhalations daily</t>
  </si>
  <si>
    <t>Two inhalations daily</t>
  </si>
  <si>
    <t>Two to four inhalations twice daily</t>
  </si>
  <si>
    <t>Four inhalations four times daily</t>
  </si>
  <si>
    <t>https://www.nice.org.uk/guidance/ng245/resources</t>
  </si>
  <si>
    <t>New columns for Low dose ICS dose, Moderate dose ICS dose, High dose ICS dose, Low dose ICS/LABA, Moderate dose ICS/LABA, High dose ICS/LABA, Low dose MART dose1-4, Moderate dose MART dose1-4, Low-dose ICS MART cost based on maintenance dose plus one additional as needed inhalation dose per day for 28 days.  Moderate-dose ICS MART cost based on maintenance dose plus one additional as needed inhalation dose per day for 28 days.</t>
  </si>
  <si>
    <t>Deleted columns AB, AC, AD, AG, AH, AN, as new columns could cause confusion with these values and they can be easy calculated using the data in column I. Column AN deleted as information is already available in other columns. Column BE deleted as the PrescQIPP Hot Topic has been archived.</t>
  </si>
  <si>
    <t>2 years</t>
  </si>
  <si>
    <t>3 years</t>
  </si>
  <si>
    <t>&gt;1000microgram beclometasone daily</t>
  </si>
  <si>
    <t>&gt;500microgram beclometasone daily</t>
  </si>
  <si>
    <t>&gt;1000microgram budesonide daily</t>
  </si>
  <si>
    <t>&gt;320micrograms ciclesonide daily</t>
  </si>
  <si>
    <t>&gt;500microgram fluticasone propionate daily</t>
  </si>
  <si>
    <t>&gt;100micrograms fluticasone furoate daily</t>
  </si>
  <si>
    <t>&gt;400micrograms mometasone furoate daily</t>
  </si>
  <si>
    <t>https://www.prescqipp.info/our-resources/webkits/hot-topics/</t>
  </si>
  <si>
    <t>36 months</t>
  </si>
  <si>
    <t>24 months</t>
  </si>
  <si>
    <t>18 months when not stored above 30° C.</t>
  </si>
  <si>
    <t xml:space="preserve"> 24 months when not stored above 30° C.</t>
  </si>
  <si>
    <t>36 months when not stored above 30° C.</t>
  </si>
  <si>
    <t>30 months</t>
  </si>
  <si>
    <t>24 months when not stored above 30° C for moderate climates.
18 months when not stored above 30° C for tropical climates.</t>
  </si>
  <si>
    <t>32 months</t>
  </si>
  <si>
    <r>
      <t>Indication: asthma, COPD or asthma and COPD</t>
    </r>
    <r>
      <rPr>
        <b/>
        <vertAlign val="superscript"/>
        <sz val="12"/>
        <rFont val="Arial"/>
        <family val="2"/>
      </rPr>
      <t>1-4</t>
    </r>
  </si>
  <si>
    <r>
      <t>AIR therapy licence?</t>
    </r>
    <r>
      <rPr>
        <b/>
        <vertAlign val="superscript"/>
        <sz val="12"/>
        <rFont val="Arial"/>
        <family val="2"/>
      </rPr>
      <t>1-4</t>
    </r>
  </si>
  <si>
    <r>
      <t>Moderate-dose ICS MART cost based on maintenance dose plus one additional as needed inhalation dose per day for 28 days.</t>
    </r>
    <r>
      <rPr>
        <b/>
        <vertAlign val="superscript"/>
        <sz val="12"/>
        <color rgb="FF000000"/>
        <rFont val="Arial"/>
        <family val="2"/>
      </rPr>
      <t>1,5,6</t>
    </r>
  </si>
  <si>
    <r>
      <t>Dose counter?</t>
    </r>
    <r>
      <rPr>
        <b/>
        <vertAlign val="superscript"/>
        <sz val="12"/>
        <rFont val="Arial"/>
        <family val="2"/>
      </rPr>
      <t>1-4</t>
    </r>
  </si>
  <si>
    <r>
      <t>Carbon footprint attributed to manufacturing waste per inhaler (g CO</t>
    </r>
    <r>
      <rPr>
        <b/>
        <vertAlign val="subscript"/>
        <sz val="12"/>
        <rFont val="Arial"/>
        <family val="2"/>
      </rPr>
      <t>2</t>
    </r>
    <r>
      <rPr>
        <b/>
        <sz val="12"/>
        <rFont val="Arial"/>
        <family val="2"/>
      </rPr>
      <t>e)</t>
    </r>
    <r>
      <rPr>
        <b/>
        <vertAlign val="superscript"/>
        <sz val="12"/>
        <rFont val="Arial"/>
        <family val="2"/>
      </rPr>
      <t>7</t>
    </r>
  </si>
  <si>
    <t>Added in columns for shelf-life and Doses where an emergency steroid card should be issued.</t>
  </si>
  <si>
    <t>Proxor 100/6 microgram per actuation pressurised inhalation solution</t>
  </si>
  <si>
    <t>Proxor 200/6 microgram per actuation pressurised inhalation solution</t>
  </si>
  <si>
    <t>Genus Pharmaceuticals</t>
  </si>
  <si>
    <t>Vivaire 100/6 microgram per actuation pressurised inhalation solution</t>
  </si>
  <si>
    <t>Vivaire 200/6 microgram per actuation pressurised inhalation solution</t>
  </si>
  <si>
    <r>
      <t>AIR therapy dose</t>
    </r>
    <r>
      <rPr>
        <b/>
        <vertAlign val="superscript"/>
        <sz val="12"/>
        <rFont val="Arial"/>
        <family val="2"/>
      </rPr>
      <t>2</t>
    </r>
  </si>
  <si>
    <t>1 to 6 inhalations as needed; maximum 8 to 12 inhalations total daily</t>
  </si>
  <si>
    <t>Asthma (Maintenance and MART) 12+; COPD 18+; AIR 12+</t>
  </si>
  <si>
    <t>Maintenance:12-17, 18+.  MART: 12+; AIR 12+</t>
  </si>
  <si>
    <t>Beclometasone dipropionate in Proxor is characterised by an extrafine particle size distribution which results in a more potent effect than formulations of beclometasone dipropionate with a non-extra fine particle size distribution (100 micrograms of beclometasone dipropionate extrafine in Proxor are equivalent to 250 micrograms of beclometasone dipropionate in a non-extrafine formulation). Therefore, the total daily dose of beclometasone dipropionate administered in Proxor should be lower than the total daily dose of beclometasone dipropionate administered in a non-extrafine beclometasone dipropionate formulation.</t>
  </si>
  <si>
    <t>Beclometasone dipropionate in this medicinal product is characterised by an extrafine particle size distribution which results in a more potent effect than formulations of beclometasone dipropionate with a non-extrafine particle size distribution (100 micrograms of beclometasone dipropionate extrafine in this medicinal product are equivalent to 250 micrograms of beclometasone dipropionate in a non-extrafine formulation). Therefore, the total daily dose of beclometasone dipropionate administered in this medicinal product should be lower than the total daily dose of beclometasone dipropionate administered in a non-extrafine beclometasone dipropionate formulation.</t>
  </si>
  <si>
    <t>fluticasone propionate 125 micrograms and salmeterol 25 micrograms/puff</t>
  </si>
  <si>
    <t>fluticasone propionate 250 micrograms and salmeterol 25 micrograms/puff</t>
  </si>
  <si>
    <t>fluticasone propionate 50 micrograms and salmeterol 25 micrograms/puff</t>
  </si>
  <si>
    <t>budesonide 100 micrograms and formoterol fumarate dihydrate 6 micrograms/puff </t>
  </si>
  <si>
    <t>budesonide 200 micrograms and formoterol fumarate dihydrate 6 micrograms/puff </t>
  </si>
  <si>
    <t>budesonide 400 micrograms and formoterol fumarate dihydrate 12 micrograms/puff </t>
  </si>
  <si>
    <t>beclometasone dipropionate 100 micrograms and formoterol fumarate dihydrate 6 micrograms/puff</t>
  </si>
  <si>
    <t>beclometasone dipropionate 200 micrograms and formoterol fumarate dihydrate 6 micrograms/puff</t>
  </si>
  <si>
    <t>fluticasone propionate 250 micrograms and salmeterol 50 micrograms/puff</t>
  </si>
  <si>
    <t xml:space="preserve"> fluticasone propionate 500 micrograms and salmeterol 50 micrograms/puff</t>
  </si>
  <si>
    <t xml:space="preserve">
fluticasone propionate 100 micrograms and salmeterol 50 micrograms/puff</t>
  </si>
  <si>
    <t xml:space="preserve">
fluticasone propionate 250 micrograms and salmeterol 50 micrograms/puff</t>
  </si>
  <si>
    <t xml:space="preserve">
fluticasone propionate 500 micrograms and salmeterol 50 micrograms/puff</t>
  </si>
  <si>
    <t>fluticasone furoate 184 micrograms and vilanterol 22 micrograms/puff</t>
  </si>
  <si>
    <t>fluticasone furoate 92 micrograms and vilanterol 22 micrograms/puff</t>
  </si>
  <si>
    <t>fluticasone propionate 100 micrograms and salmeterol 50 micrograms/puff</t>
  </si>
  <si>
    <t xml:space="preserve">fluticasone propionate 250 micrograms and formoterol fumarate dihydrate 10 micrograms/puff </t>
  </si>
  <si>
    <t xml:space="preserve">fluticasone propionate 50 micrograms and formoterol fumarate dihydrate 5 micrograms/puff </t>
  </si>
  <si>
    <t xml:space="preserve"> budesonide 160 micrograms and formoterol fumarate dihydrate 4.5 micrograms/puff</t>
  </si>
  <si>
    <t>budesonide 320 micrograms and formoterol fumarate dihydrate 9 micrograms/puff</t>
  </si>
  <si>
    <t>budesonide 80 micrograms and formoterol fumarate dihydrate 4.5 micrograms/puff</t>
  </si>
  <si>
    <t>budesonide 100 micrograms and formoterol fumarate dihydrate 3 micrograms/puff</t>
  </si>
  <si>
    <t>Under generic names for ICS/LABA listed ICS generic name first followed by LABA generic name and matched format to make searching easier.</t>
  </si>
  <si>
    <t>43769111000001102</t>
  </si>
  <si>
    <t>43768311000001106</t>
  </si>
  <si>
    <t>Added new inhalers Vivaire and Proxor. CF for Vivaire taken from MIMS.</t>
  </si>
  <si>
    <t>AIR therapy licenses column added to lines 45, 71,72, 142 and 154</t>
  </si>
  <si>
    <t>Deleted all strengths of Atectura Breezhaler as it has been discontinued.</t>
  </si>
  <si>
    <t>fluticasone propionate 125 micrograms and formoterol fumarate dihydrate 5 micrograms/puff</t>
  </si>
  <si>
    <t>Three to five inhalations twice daily</t>
  </si>
  <si>
    <t>https://bnf.nice.org.uk/</t>
  </si>
  <si>
    <t>Flixotide Evohaler 125 micrograms</t>
  </si>
  <si>
    <t>3,386</t>
  </si>
  <si>
    <t>25%</t>
  </si>
  <si>
    <t xml:space="preserve">Do not store above 25°C. The canister contains a pressurised liquid. Do not expose to temperatures higher than 50°C, protect from direct sunlight. Do not pierce or burn the canister even when empty. As with most inhaled medicinal products in pressurised canisters, the therapeutic effect of this medicinal product may decrease when the canister is cold. </t>
  </si>
  <si>
    <t>Not sure</t>
  </si>
  <si>
    <t>This medicinal product does not require any special storage conditions.</t>
  </si>
  <si>
    <t>No value for overages available.</t>
  </si>
  <si>
    <t>Discontinued according to DM&amp;D</t>
  </si>
  <si>
    <t>Form checked</t>
  </si>
  <si>
    <t>60</t>
  </si>
  <si>
    <t>Do not store above 30°C. Do not expose to temperatures higher than 50°C. Do not pierce the pressurised container.</t>
  </si>
  <si>
    <t>To be used within 3 months of opening the pouch.</t>
  </si>
  <si>
    <t>HFO1234za</t>
  </si>
  <si>
    <t>Do not store above 30°C.</t>
  </si>
  <si>
    <t xml:space="preserve"> To be used within 60 days of opening the bag.</t>
  </si>
  <si>
    <t>This medicinal product does not require any special storage conditions. Keep the container/cap tightly closed.</t>
  </si>
  <si>
    <t xml:space="preserve">For best results, this medicine should be at room temperature before use. Do not refrigerate or freeze. Protect from frost and direct sunlight. Replace the mouthpiece cover firmly and snap into position after use. As with most inhaled medicinal products in pressurised containers, the therapeutic effect of this medicinal product decreases when the container is cold. This medicine should be at room temperature before use. The canister contains a pressurised liquid. Do not expose to temperatures higher than 50°C. Do not pierce the canister. The canister should not be broken, punctured or burnt, even when it seems empty. </t>
  </si>
  <si>
    <t>The shelf life after first opening is 3 months.</t>
  </si>
  <si>
    <t>No information on this.</t>
  </si>
  <si>
    <t>Trixeo Aerosphere 5 micrograms /7.2 micrograms / 160 micrograms</t>
  </si>
  <si>
    <t xml:space="preserve"> To be used within 3 months of opening the pouch.</t>
  </si>
  <si>
    <t>HFO-1234za</t>
  </si>
  <si>
    <t>Hargreaves C, et al. Abstract presented at BTS 2022 (Abstract S60); 4. Hargreaves C, et al. Oral
presentation at BTS 2022 (Abstract S60). AZ commissioned Environmental Resources Management (ERM). The methodology used was validated by Resource and Waste Solutions Partnership (RWSP) verifying compliance wth GHG Protocol Product Life Cycle Accounting and Reporting Standard</t>
  </si>
  <si>
    <t>NGP version of Trixeo Aerosphere licensed in May 2025, supply expected from July 2025.</t>
  </si>
  <si>
    <t xml:space="preserve">Reduction of 99.9% reduction in global warming potential vs current propellants </t>
  </si>
  <si>
    <t>Already undertaken</t>
  </si>
  <si>
    <t>After dispensing: Do not store above 30° C (for a maximum of 3 months)</t>
  </si>
  <si>
    <t xml:space="preserve">Prior to dispensing to the patient: Store in a refrigerator at 2° C to 8° C (for a maximum of 15 months). Shelf life: 18 months.
</t>
  </si>
  <si>
    <t>Refer to Summary of Product Characteristics</t>
  </si>
  <si>
    <t>0</t>
  </si>
  <si>
    <t>The carbon footprint of Chiesi’s inhalers is calculated based on the total carbon emissions (gCO₂eq) from the entire product contents, including any overage. As a result, the per-puff carbon footprint also incorporates the emissions from the overage. The overage has not been separated out or reported as a distinct value.</t>
  </si>
  <si>
    <t>HFA-152a</t>
  </si>
  <si>
    <t xml:space="preserve">In transitioning to the next generation propellant HFA-152a, the carbon footprint of Chiesi’s pMDIs will be reduced by up to 90%. </t>
  </si>
  <si>
    <t>Three or four inhalations four times daily</t>
  </si>
  <si>
    <t>Shelf-life 21 months: Prior to dispensing to the patient: Store in a refrigerator (2-8° C) for a maximum of 18 months.</t>
  </si>
  <si>
    <t>After dispensing: Do not store above 25°C (for a maximum of 3 months).</t>
  </si>
  <si>
    <t>60 actuation pressurised container: After dispensing, the medicinal product may be stored for a maximum of 2 months at a temperature up to 25°C. 120 actuation pressurised container: After dispensing, the medicinal product may be stored for a maximum of 3 months at a temperature up to 25°C.</t>
  </si>
  <si>
    <t xml:space="preserve">60 actuation pressurised container: Shelf life: 21 months. 
120 (from a single or multipack) and 180 actuation pressurised container: Shelf life: 22 months. </t>
  </si>
  <si>
    <t xml:space="preserve">Shelf-life 21 months. </t>
  </si>
  <si>
    <t>After first opening the pouch, the medicinal product should be used within 6 weeks and stored in a dry place.</t>
  </si>
  <si>
    <t>Extrafine particle size distribution. When switching patients from previous treatments, it should be considered that the recommended total daily dose of beclometasone dipropionate for Trimbow NEXThaler is lower than that for current beclometasone dipropionate containing non-extrafine products and should be adjusted to the needs of the individual patient.</t>
  </si>
  <si>
    <t xml:space="preserve">Unfortunately, due to demand, we will no longer be supplying this inhaler to the UK market by the end of the year. At present, our suppliers no longer have carbon footprint trial data available for us to share. </t>
  </si>
  <si>
    <t>https://www.gov.uk/guidance/calculate-the-carbon-dioxide-equivalent-quantity-of-an-f-gas#:~:text=Divide%20the%20mass%20of%20the,GWP%20=%2039.2%20tonnes%20CO2%20equivalent.</t>
  </si>
  <si>
    <t>Prior to dispensing to the patient: Must be stored in upright position in a refrigerator (2-8° C) for a maximum of 18 months.</t>
  </si>
  <si>
    <t>After dispensing: Do not store above 25° C for a maximum of 3 months.</t>
  </si>
  <si>
    <t>21 months</t>
  </si>
  <si>
    <t>44169911000001105</t>
  </si>
  <si>
    <t>Contents information in the patient information leaflet</t>
  </si>
  <si>
    <t>Cradle to grave carbon footprint analysis planned</t>
  </si>
  <si>
    <t>44170311000001107</t>
  </si>
  <si>
    <t>Discard the inhaler 90 days after first use. The capsule should be used directly after opening the blister.</t>
  </si>
  <si>
    <t>Do not store above 30 °C.</t>
  </si>
  <si>
    <t xml:space="preserve">https://www.lupinhealthcare.co.uk/carbon-neutral-explained/ </t>
  </si>
  <si>
    <t xml:space="preserve">Further details of the LCA completed for this product and how carbon neutral certification is achieved can be found here: https://www.lupinhealthcare.co.uk/carbon-neutral-explained/ </t>
  </si>
  <si>
    <t>Development work expected to be completed in 2026 and regulatory filing to commence shortly after.</t>
  </si>
  <si>
    <t>Do not store above 25°C. Do not refrigerate or freeze. If the inhaler is exposed to freezing conditions then the patient must be advised to allow the inhaler to warm at room temperature for 30 minutes then re-prime the inhaler. The canister contains a pressurised liquid. Do not expose to temperatures higher than 50°C. Do not puncture, break or burn, even when apparently empty. (Source: https://www.emcpi.com/pi/26954)</t>
  </si>
  <si>
    <t>In use shelf – life: 3 months after opening the foil pouch.</t>
  </si>
  <si>
    <t>Flutiform® reformulation with lower GWP propellants is currently under development. The launch date has yet to be confirmed.</t>
  </si>
  <si>
    <t>The aim is to achieve a near-zero-emissions product with a significantly lower impact on global warming, which aligns with European Union regulation on fluorinated greenhouse gases. (Source: Regulation (EU) No 517/2014 of the European Parliament and of the Council of 16 April 2014 on fluorinated greenhouse gases and repealing Regulation (EC) No 842/2006 Text with EEA relevance. Available at: https://eur-lex.europa.eu/eli/reg/2024/573/oj (last accessed July 2025)</t>
  </si>
  <si>
    <t>For overages, the data is proprietary information data which has been included the overages in the overall carbon footprints calculation.</t>
  </si>
  <si>
    <t>Do not store above 30°C. Store in the blister in order to protect from moisture and only remove immediately before use.</t>
  </si>
  <si>
    <t>Do not store above 25°C. The capsules must always be stored in the original blister in order to protect from moisture. The capsules must only be removed immediately before use.</t>
  </si>
  <si>
    <t>Do not store above 30°C. Store in the original package in order to protect from light and moisture.</t>
  </si>
  <si>
    <t>No form completed</t>
  </si>
  <si>
    <t>After first opening: 3 months.</t>
  </si>
  <si>
    <t xml:space="preserve">As packaged for sale: 2 years.
</t>
  </si>
  <si>
    <t>As packaged for sale: 2 years.</t>
  </si>
  <si>
    <t>Store in original package in order to protect from moisture. Do not refrigerate or freeze. Do not store above 30°C.</t>
  </si>
  <si>
    <t>Do not store above 25°C.</t>
  </si>
  <si>
    <t>6 months after opening of the foil.</t>
  </si>
  <si>
    <t>3 years in aluminium foil.</t>
  </si>
  <si>
    <t>https://www.orionpharma.com/sustainability/environment/environmental-impacts-of-operations/carbon-footprint-assessment-of-orions-dry-powder-inhalers/</t>
  </si>
  <si>
    <t xml:space="preserve">Certified as Carbon Neutral by Carbon Footprint Ltd. Certificate number CF2025-11780 - Certificate available on request </t>
  </si>
  <si>
    <t>Certified as Carbon Neutral by Carbon Footprint Ltd. Certificate number CF2025-11780</t>
  </si>
  <si>
    <t>Do not store above 30°C and store protected from moisture.</t>
  </si>
  <si>
    <t xml:space="preserve">Shelf life of the medicinal product as packaged for sale: 3 years.
</t>
  </si>
  <si>
    <t>Shelf life after first opening the foil bag: 6 months.</t>
  </si>
  <si>
    <t>Analyses were performed according to ISO 14067:2018 and the GHG Protocol by a certified independent third party, Carbon Footprint Ltd.</t>
  </si>
  <si>
    <t xml:space="preserve">After first opening the foil bag: 4 months. </t>
  </si>
  <si>
    <t>After first opening of foil pouch: 6 months.</t>
  </si>
  <si>
    <t>Store in a dry place at a temperature not exceeding 25°C.</t>
  </si>
  <si>
    <t>Unopened: 3 years.</t>
  </si>
  <si>
    <t xml:space="preserve"> After first opening of foil pouch: 6 months.</t>
  </si>
  <si>
    <t>Do not store above 25°C and protect from moisture.</t>
  </si>
  <si>
    <t xml:space="preserve">After first opening the foil wrapping: 4 months. </t>
  </si>
  <si>
    <t>After first opening the foil wrapping: 4 months.</t>
  </si>
  <si>
    <t>After first opening the foil bag: 1 month</t>
  </si>
  <si>
    <t>After first opening the foil bag: 2 months</t>
  </si>
  <si>
    <t xml:space="preserve"> Do not store above 25°C and protect from moisture.</t>
  </si>
  <si>
    <t>After opening the foil wrap: 12 months.</t>
  </si>
  <si>
    <t>Do not store above 25°C; Keep the mouthpiece cover closed after removal of the foil wrap.</t>
  </si>
  <si>
    <t xml:space="preserve"> After first opening: 30 days (15 capsule bottle) or 60 days (30 capsule bottle)</t>
  </si>
  <si>
    <t>Keep the bottle tightly closed. Store in the original package to protect from moisture. Do not refrigerate or freeze.</t>
  </si>
  <si>
    <t>Store below 30°C. Store in the original package. Storage in direct sunlight or heat should be avoided. Protect from frost.</t>
  </si>
  <si>
    <t>Do not store above 25°C. Keep the mouthpiece cover closed after removal of the foil wrap.</t>
  </si>
  <si>
    <t>Do not store above 25°C. Protect from frost and direct sunlight. The canister contains a pressurised liquid. Do not expose to temperatures higher that 50°C. Do not pierce the canister.</t>
  </si>
  <si>
    <t>Do not store above 25°C. Do not refrigerate or freeze.</t>
  </si>
  <si>
    <t>Higher</t>
  </si>
  <si>
    <t>Lower</t>
  </si>
  <si>
    <t>Same</t>
  </si>
  <si>
    <t>Kindeva Drug Delivery Limited</t>
  </si>
  <si>
    <r>
      <t>Do not store above 25</t>
    </r>
    <r>
      <rPr>
        <sz val="12"/>
        <rFont val="Aptos Narrow"/>
        <family val="2"/>
      </rPr>
      <t>º</t>
    </r>
    <r>
      <rPr>
        <sz val="12"/>
        <rFont val="Arial"/>
        <family val="2"/>
      </rPr>
      <t>C. The canister contains a pressurised liquid. Do not expose to temperatures higher than 50ºC, protect from direct sunlight. Do not pierce or burn the canister even when empty. As with most inhaled medicinal products in pressurised canisters, the therapeutic effect of this medicinal product may decrease when the canister is cold.</t>
    </r>
  </si>
  <si>
    <t xml:space="preserve">https://www.hpra.ie/find-a-medicine/for-human-use/authorised-medicines?data=eyJpZCI6bnVsbCwic2tpcCI6MCwidGFrZSI6MTAsInF1ZXJ5IjoiYWlyZmx1c2FsIiwib3JkZXIiOiJMYXN0VXBkYXRlZCBERVNDIiwic3RhdHVzIjoiQXV0aG9yaXNlZCIsImZpbHRlcnMiOnsiZnJvbSI6bnVsbCwidG8iOm51bGwsInJvdXRlcyI6bnVsbCwicGxhY2VPZlNhbGUiOm51bGwsImFkdmVydGlzaW5nQ29uZGl0aW9ucyI6bnVsbCwibWFya2V0aW5nQXZhaWxhYmlsaXR5IjpudWxsLCJhdGNDb2RlIjpudWxsLCJtZWRpY2luZVR5cGUiOm51bGx9fQ%3D%3D </t>
  </si>
  <si>
    <t>Deleted Yanimo as this have been discontinued.</t>
  </si>
  <si>
    <t>Used same carbon footprint as Seretide accuhaler.</t>
  </si>
  <si>
    <t>In-use shelf life of the cartridge: 3 months. In-use shelf life of the inhaler: 1 year</t>
  </si>
  <si>
    <t xml:space="preserve"> In-use shelf life of the cartridge: 3 months</t>
  </si>
  <si>
    <t>Do not freeze.</t>
  </si>
  <si>
    <t>Do not store above 25°C. Protect from direct sunlight, heat and frost. The canister contains a pressurised liquid. Do not expose to temperatures higher than 50°C. Do not pierce the canister.</t>
  </si>
  <si>
    <t>After first opening of the blister use within the next 9 days.</t>
  </si>
  <si>
    <t>After first opening of the blister use within the next 9 days. Discard the HandiHaler device 12 months after first use.</t>
  </si>
  <si>
    <t>Do not store above 25°C. Do not freeze.</t>
  </si>
  <si>
    <t>Viatris (Mylan)</t>
  </si>
  <si>
    <t>All prices checked and updated as necessary August 2025.</t>
  </si>
  <si>
    <t>Do not store above 30°C. Store in the original package to protect from moisture.</t>
  </si>
  <si>
    <t>Discard the NeumoHaler upon finalization of the medication contained in this box (maximum for up to 3 months).</t>
  </si>
  <si>
    <t>Not data available</t>
  </si>
  <si>
    <t>Braltus 10 micrograms inhalation powder capsules with Zonda inhaler</t>
  </si>
  <si>
    <t>Carbon footprint of Spiriva used.</t>
  </si>
  <si>
    <t>Tiogiva 18 micrograms inhalation powder capsules</t>
  </si>
  <si>
    <t>39607511000001105</t>
  </si>
  <si>
    <t>Tiogiva 18 micrograms inhalation powder capsules with device</t>
  </si>
  <si>
    <t>Trokide 18 mcg Inhalation powder capsules</t>
  </si>
  <si>
    <t>Trokide 18 mcg Inhalation powder capsules with Vertical-Haler</t>
  </si>
  <si>
    <t>Do not store above 30°C</t>
  </si>
  <si>
    <t>Use the capsule directly after opening of the blister pocket.</t>
  </si>
  <si>
    <t>Significant changes have been made to manufacturing processes in the last 12 months which are not part of the calculations (as they are based on historical data). Therefore a re-assessment in the next 12-18 months is expected to reflect a lower carbon footprint due to investments in a 100% renewable energy powered manufacturing process. Please note that different companies may take different approaches and use different methodologies to calculate their 'carbon footprint'. To ensure it is directly comparable, an independent body such as the Carbon Trust should be used for the assessment of the raw data from each company, ensuring a consistent methodology and therefore direct comparability.</t>
  </si>
  <si>
    <t>Store below 25°C. Keep the container in the outer carton in order to protect from light. The container contains a pressurised liquid.The container should not be punctured, broken or burnt even when apparently empty. As with most inhaled medicinal products in pressurised containers, the therapeutic effect of this medicinal product may decrease when the container is cold.</t>
  </si>
  <si>
    <t xml:space="preserve">2 years
</t>
  </si>
  <si>
    <t>In-use shelf-life after opening the tray: 6 weeks. Write the date the inhaler should be discarded on the label in the space provided. The date should be added as soon as the inhaler has been removed from the tray.</t>
  </si>
  <si>
    <t xml:space="preserve">Do not store above 30ºC. If stored in a refrigerator allow the inhaler to return to room temperature for at least an hour before use. Keep the inhaler inside the sealed tray in order to protect from moisture and only remove immediately before first use. </t>
  </si>
  <si>
    <t>Store in the original package. This medicinal product does not require any special temperature storage conditions.</t>
  </si>
  <si>
    <t>Cartridge shelf life after first opening the container: 6 months; device in-use shelf life: 1 year</t>
  </si>
  <si>
    <t xml:space="preserve">Cartridge and device: Shelf life before opening the container: 3 years
</t>
  </si>
  <si>
    <t>This medicinal product does not require any special temperature storage conditions. Keep the Genuair inhaler protected inside the sealed bag until the administration period starts.</t>
  </si>
  <si>
    <t>Keep the inhaler inside the pouch until the administration period starts.</t>
  </si>
  <si>
    <t>To be used within 90 days of opening the pouch.</t>
  </si>
  <si>
    <t>Do not store above 30°C (86°F). Store in a dry place.</t>
  </si>
  <si>
    <t xml:space="preserve"> 24 months when not stored above 30° C. Flixotide Accuhaler is sealed in a foil overwrap which should only be opened when it is to be used for the first time. Once opened the foil overwrap should be discarded.</t>
  </si>
  <si>
    <t xml:space="preserve"> 18 months when not stored above 30° C. Flixotide Accuhaler is sealed in a foil overwrap which should only be opened when it is to be used for the first time. Once opened the foil overwrap should be discarded.</t>
  </si>
  <si>
    <t xml:space="preserve"> 36 months when not stored above 30° C. Flixotide Accuhaler is sealed in a foil overwrap which should only be opened when it is to be used for the first time. Once opened the foil overwrap should be discarded.</t>
  </si>
  <si>
    <t>Do not store above 25°C. If stored in a refrigerator allow the inhaler to return to room temperature for at least an hour before use. Store in the original package in order to protect from moisture. Write the date the inhaler should be discarded on the label in the space provided. The date should be added as soon as the inhaler has been removed from the tray.</t>
  </si>
  <si>
    <t>In-use shelf-life after opening the tray: 6 weeks.</t>
  </si>
  <si>
    <t xml:space="preserve">Shelf life before opening the container: 3 years
</t>
  </si>
  <si>
    <t>Shelf life after first opening the container: 6 months. When in use Salbulin MDPI Novolizer 100 micrograms should be stored protected from moisture.</t>
  </si>
  <si>
    <t>Do not store above 30°C. Store in the original package.</t>
  </si>
  <si>
    <t xml:space="preserve">Shelf life before opening the container and before first use: 3 years
</t>
  </si>
  <si>
    <t>Do not store above 30°C. Store in the original package. When in use Salbulin MDPI Novolizer 100 micrograms should be stored protected from moisture.</t>
  </si>
  <si>
    <t>This medicinal product does not require any special storage conditions. Do not refrigerate or freeze. Do not store the opened product above 25°C.</t>
  </si>
  <si>
    <t>Use within 1 month of opening the foil pouch.</t>
  </si>
  <si>
    <t>Use within 2 months of opening the foil pouch.</t>
  </si>
  <si>
    <t>24 months when not stored above 30° C for moderate climates.</t>
  </si>
  <si>
    <t>Store below 30°C, in the original package in order to protect from moisture.</t>
  </si>
  <si>
    <t>Do not store above 30°C. If stored in a refrigerator allow the inhaler to return to room temperature for at least an hour before use. Keep the inhaler inside the sealed tray in order to protect from moisture and only remove immediately before first use.</t>
  </si>
  <si>
    <t>Shelf-life after opening the tray: 6 weeks</t>
  </si>
  <si>
    <t>Do not store above 30°C. Keep in the original container.</t>
  </si>
  <si>
    <t>41158711000001100</t>
  </si>
  <si>
    <t>41159111000001108</t>
  </si>
  <si>
    <t>41158911000001103</t>
  </si>
  <si>
    <t>Used Seretide Accuhaler carbon footprint</t>
  </si>
  <si>
    <t>This medicinal product does not require any special storage conditions. The container contains a pressurised liquid. Do not expose to temperatures higher than 50°C. The container should not be punctured, broken or burnt even when apparently empty.</t>
  </si>
  <si>
    <t>Do not store above 25°C. The canister contains a pressurized liquid. Do not expose to temperatures higher than 50°C, protect from direct sunlight. Do not pierce or burn the canister even when empty. As with most inhaled medicinal products in pressurized canisters, the therapeutic effect of this medicinal product may decrease when the canister is cold.</t>
  </si>
  <si>
    <t>Do not store above 30°C. As with most inhaled medicines in aerosol canisters, the therapeutic effect may decrease when the canister is cold. Protect from frost and direct sunlight.</t>
  </si>
  <si>
    <t>Do not store above 30°C. As with most inhaled medicines in aerosol canisters, the therapeutic effect may decrease when the canister is cold. Protect from frost and direct sunlight. The canister contains a pressurised liquid. Do not expose to temperatures higher than 50°C. Do not pierce the canister.</t>
  </si>
  <si>
    <t>Prior to dispensing to the patient: Store in a refrigerator (2-8° C) for a maximum of 18 months.</t>
  </si>
  <si>
    <t>After dispensing: 3 months.</t>
  </si>
  <si>
    <t>21 months shelf-life: Prior to dispensing to the patient: Store in a refrigerator (2-8° C) for a maximum of 18 months.</t>
  </si>
  <si>
    <t>Store below 30°C. Do not refrigerate or freeze. Protect from frost and direct sunlight. As with most medicines in pressurised canisters, the therapeutic effect of this medication may decrease when the canister is cold. Pressurised container. Do not expose to temperatures higher than 50°C. The canister should not be punctured, broken or burnt even when apparently empty. Replace the mouthpiece cover firmly and snap into position.</t>
  </si>
  <si>
    <t>Do not store above 25°C. The canister contains a pressurised liquid. Do not expose to temperatures higher than 50°C, protect from direct sunlight. Do not pierce or burn the canister even when empty. As with most inhaled medicinal products in pressurised canisters, the therapeutic effect of this medicinal product may decrease when the canister is cold.</t>
  </si>
  <si>
    <t>Do not store above 25°C. Do not refrigerate or freeze. The canister contains a pressurised liquid. Do not expose to temperatures higher than 50°C, protect from direct sunlight. Do not puncture, pierce or burn the canister even when apparently empty. As with most inhaled medicinal products in pressurised canisters, the therapeutic effect of this medicinal product may decrease when the canister is cold.</t>
  </si>
  <si>
    <t>Store below 25°C. Do not freeze. The canister contains a pressurised liquid. Do not expose to temperatures higher than 50°C. Do not puncture, break or burn even when apparently empty</t>
  </si>
  <si>
    <t>As with most inhaled medicines in aerosol canisters, the therapeutic effect may decrease when the canister is cold. Do not freeze. Store in the original package in order to protect from the light. The canister contains a pressurised liquid. Do not expose to temperatures higher than 50 °C. Do not pierce the canister, even when it´s empty.</t>
  </si>
  <si>
    <t>Store below 30°C. Protect from frost and direct sunlight. As with most inhaled medications in aerosol canisters, the therapeutic effect of this medication may decrease when the canister is cold. This canister contains a pressurised liquid. Do not expose to temperatures higher than 50°C. The canister should not be broken, punctured or burnt, even when empty. Replace the mouthpiece cover firmly and snap it into position.</t>
  </si>
  <si>
    <t>Prior to dispensing to the patient: Store in a refrigerator (2-8°C). After dispensing: Do not store above 25°C. The canister contains a pressurised liquid. Do not expose to temperatures higher than 50°C. Do not pierce the canister.</t>
  </si>
  <si>
    <t>Replace the mouthpiece cover firmly and snap it into position. Do not store above 30° C. Pressurised container. Do not expose to temperatures higher than 50°C. Do not puncture, break or burn even when apparently empty.</t>
  </si>
  <si>
    <t>42606511000001104</t>
  </si>
  <si>
    <t>44073511000001103</t>
  </si>
  <si>
    <t>8. PrescQIPP. Methodology used to calculate carbon emissions in the PrescQIPP inhaler carbon footprint table. August 2025.</t>
  </si>
  <si>
    <t>Methodology used to calculate carbon emissions in the PrescQIPP inhaler carbon footprint table</t>
  </si>
  <si>
    <t>Deleted inhaler carbon footprint per puff as outlined in the methodology.</t>
  </si>
  <si>
    <r>
      <t>Indicative carbon footprint /inhaler (gCO</t>
    </r>
    <r>
      <rPr>
        <b/>
        <vertAlign val="subscript"/>
        <sz val="12"/>
        <rFont val="Arial"/>
        <family val="2"/>
      </rPr>
      <t>2</t>
    </r>
    <r>
      <rPr>
        <b/>
        <sz val="12"/>
        <rFont val="Arial"/>
        <family val="2"/>
      </rPr>
      <t xml:space="preserve">e) </t>
    </r>
    <r>
      <rPr>
        <b/>
        <vertAlign val="superscript"/>
        <sz val="12"/>
        <rFont val="Arial"/>
        <family val="2"/>
      </rPr>
      <t>7,8</t>
    </r>
  </si>
  <si>
    <t>Amended column for carbon footprint attributed to propellant only or product lifecycle in line with methodology outlines how the carbon footprint has been attributed. Nb. All pMDIs carbon footprint now propellant only values.</t>
  </si>
  <si>
    <t>Carbon footprint of Spiriva DPI used.</t>
  </si>
  <si>
    <t>Carbon footprint attributed to propellant only, manufacturers data or as stated in methodology</t>
  </si>
  <si>
    <t>Average DPI value used</t>
  </si>
  <si>
    <t>Carbon footprint data estimated from Spriva Respimat® values from manufacturer</t>
  </si>
  <si>
    <t xml:space="preserve">3 years
</t>
  </si>
  <si>
    <t>Removed column for inhaler volume as propellant carbon footprint values added for pMDIs</t>
  </si>
  <si>
    <t>`43824011000001105</t>
  </si>
  <si>
    <t>`43823811000001102</t>
  </si>
  <si>
    <t>2. Summary of Product Characteristics on electronic Medicines Compendium. Last accessed 20/8/2025.</t>
  </si>
  <si>
    <t>Low (≤1700 gCO2e) or High (&gt;1700 gCO2e) carbon footprint/inhaler</t>
  </si>
  <si>
    <t>Essential Pharma Ltd</t>
  </si>
  <si>
    <r>
      <t>Literature value</t>
    </r>
    <r>
      <rPr>
        <vertAlign val="superscript"/>
        <sz val="12"/>
        <rFont val="Arial"/>
        <family val="2"/>
      </rPr>
      <t>17</t>
    </r>
  </si>
  <si>
    <r>
      <t>Brand name</t>
    </r>
    <r>
      <rPr>
        <b/>
        <vertAlign val="superscript"/>
        <sz val="12"/>
        <rFont val="Arial"/>
        <family val="2"/>
      </rPr>
      <t>6</t>
    </r>
  </si>
  <si>
    <r>
      <t>Manufacturer</t>
    </r>
    <r>
      <rPr>
        <b/>
        <vertAlign val="superscript"/>
        <sz val="12"/>
        <rFont val="Arial"/>
        <family val="2"/>
      </rPr>
      <t>6</t>
    </r>
  </si>
  <si>
    <r>
      <t>Generic name</t>
    </r>
    <r>
      <rPr>
        <b/>
        <vertAlign val="superscript"/>
        <sz val="12"/>
        <rFont val="Arial"/>
        <family val="2"/>
      </rPr>
      <t>6</t>
    </r>
  </si>
  <si>
    <r>
      <t>Device type</t>
    </r>
    <r>
      <rPr>
        <b/>
        <vertAlign val="superscript"/>
        <sz val="12"/>
        <rFont val="Arial"/>
        <family val="2"/>
      </rPr>
      <t>6</t>
    </r>
  </si>
  <si>
    <r>
      <t>Doses per inhaler</t>
    </r>
    <r>
      <rPr>
        <b/>
        <vertAlign val="superscript"/>
        <sz val="12"/>
        <rFont val="Arial"/>
        <family val="2"/>
      </rPr>
      <t>6</t>
    </r>
  </si>
  <si>
    <t>3. European Public Assessment Report. Accessed 19/8/25.</t>
  </si>
  <si>
    <t>1. Joint Formulary Committee. British National Formulary (online) London: BMJ Group and Pharmaceutical Press.  Last accessed on 20/08/25.</t>
  </si>
  <si>
    <t>4. Summary of Product Characteristics on MHRA website. Accessed 20/08/25.</t>
  </si>
  <si>
    <t>5. C+D Data. Accessed 20/08/25.</t>
  </si>
  <si>
    <t>6. NHS DM+D browser. Last accessed 20/08/2025.</t>
  </si>
  <si>
    <t>No price available (hospital only)</t>
  </si>
  <si>
    <r>
      <t>NHS cost per inhaler</t>
    </r>
    <r>
      <rPr>
        <b/>
        <vertAlign val="superscript"/>
        <sz val="12"/>
        <rFont val="Arial"/>
        <family val="2"/>
      </rPr>
      <t>6</t>
    </r>
  </si>
  <si>
    <t>Other (cystic fibrosis treatment)</t>
  </si>
  <si>
    <r>
      <t xml:space="preserve">Other (chronic pulmonary infections due to </t>
    </r>
    <r>
      <rPr>
        <i/>
        <u/>
        <sz val="12"/>
        <rFont val="Arial"/>
        <family val="2"/>
      </rPr>
      <t>P. aeruginosa</t>
    </r>
    <r>
      <rPr>
        <sz val="12"/>
        <rFont val="Arial"/>
        <family val="2"/>
      </rPr>
      <t>)</t>
    </r>
  </si>
  <si>
    <t>Diagnostic use only- bronchial hyperresponsiveness</t>
  </si>
  <si>
    <t>Diagnostic</t>
  </si>
  <si>
    <r>
      <t>Therapeutic group</t>
    </r>
    <r>
      <rPr>
        <b/>
        <vertAlign val="superscript"/>
        <sz val="12"/>
        <rFont val="Arial"/>
        <family val="2"/>
      </rPr>
      <t>1,2</t>
    </r>
  </si>
  <si>
    <t>20514911000001103</t>
  </si>
  <si>
    <t>Mylan (Viatris UK Healthcare Ltd)</t>
  </si>
  <si>
    <t xml:space="preserve">Cost/puff </t>
  </si>
  <si>
    <t>For non-asthma or COPD inhalers tab new average DPI values used for the carbon footprint per inhaler apart from methoxyflurane where a literature value was used.</t>
  </si>
  <si>
    <t>Change in carbon footprint per inhaler v2.36 vs v2.37</t>
  </si>
  <si>
    <t>562.5</t>
  </si>
  <si>
    <t>587</t>
  </si>
  <si>
    <t>19285</t>
  </si>
  <si>
    <t>15626</t>
  </si>
  <si>
    <t>765</t>
  </si>
  <si>
    <t>14182.8</t>
  </si>
  <si>
    <t>14203.2</t>
  </si>
  <si>
    <t>889.2</t>
  </si>
  <si>
    <t>13500</t>
  </si>
  <si>
    <t>583</t>
  </si>
  <si>
    <t>28262</t>
  </si>
  <si>
    <t>10700</t>
  </si>
  <si>
    <t>13450</t>
  </si>
  <si>
    <t>Change in carbon footprint compared to version 2.1</t>
  </si>
  <si>
    <t>New inhaler since first published</t>
  </si>
  <si>
    <t>New inhaler since published</t>
  </si>
  <si>
    <t>Non-asthma or COPD inhalers available in the UK have been included in a separate tab for information. They are all DPI/SMIs.</t>
  </si>
  <si>
    <t>Notes</t>
  </si>
  <si>
    <t>Acopair 18 microgram inhalation powder capsules with NeumoHaler</t>
  </si>
  <si>
    <t>New tab for a quick reference version of the table added.</t>
  </si>
  <si>
    <r>
      <t>Brand Name</t>
    </r>
    <r>
      <rPr>
        <b/>
        <vertAlign val="superscript"/>
        <sz val="12"/>
        <color theme="1"/>
        <rFont val="Calibri"/>
        <family val="2"/>
        <scheme val="minor"/>
      </rPr>
      <t>1</t>
    </r>
  </si>
  <si>
    <t xml:space="preserve">Inhaler carbon footprint per inhaler in v2.37 (gCO2e) </t>
  </si>
  <si>
    <t xml:space="preserve">Change in carbon footprint per inhaler compared to v2.36 (gCO2e) </t>
  </si>
  <si>
    <t xml:space="preserve">Inhaler carbon footprint per inhaler in v2.36 (gCO2e) </t>
  </si>
  <si>
    <t>Updated references</t>
  </si>
  <si>
    <t>7. Manufacturers survey August 2025</t>
  </si>
  <si>
    <r>
      <t>Product AMPP SNOMED code</t>
    </r>
    <r>
      <rPr>
        <b/>
        <vertAlign val="superscript"/>
        <sz val="12"/>
        <rFont val="Arial"/>
        <family val="2"/>
      </rPr>
      <t>6</t>
    </r>
  </si>
  <si>
    <r>
      <t>Low dose ICS dose</t>
    </r>
    <r>
      <rPr>
        <b/>
        <vertAlign val="superscript"/>
        <sz val="12"/>
        <rFont val="Arial"/>
        <family val="2"/>
      </rPr>
      <t>1-4,9</t>
    </r>
  </si>
  <si>
    <r>
      <t>Moderate dose ICS dose</t>
    </r>
    <r>
      <rPr>
        <b/>
        <vertAlign val="superscript"/>
        <sz val="12"/>
        <rFont val="Arial"/>
        <family val="2"/>
      </rPr>
      <t>1-4,9</t>
    </r>
  </si>
  <si>
    <r>
      <t>High dose ICS dose</t>
    </r>
    <r>
      <rPr>
        <b/>
        <vertAlign val="superscript"/>
        <sz val="12"/>
        <rFont val="Arial"/>
        <family val="2"/>
      </rPr>
      <t>1-4,9</t>
    </r>
  </si>
  <si>
    <r>
      <t>Low dose ICS/LABA</t>
    </r>
    <r>
      <rPr>
        <b/>
        <vertAlign val="superscript"/>
        <sz val="12"/>
        <rFont val="Arial"/>
        <family val="2"/>
      </rPr>
      <t>1-4,9</t>
    </r>
  </si>
  <si>
    <r>
      <t>Moderate dose ICS/LABA</t>
    </r>
    <r>
      <rPr>
        <b/>
        <vertAlign val="superscript"/>
        <sz val="12"/>
        <rFont val="Arial"/>
        <family val="2"/>
      </rPr>
      <t>1-4,9</t>
    </r>
  </si>
  <si>
    <r>
      <t>High dose ICS/LABA</t>
    </r>
    <r>
      <rPr>
        <b/>
        <vertAlign val="superscript"/>
        <sz val="12"/>
        <rFont val="Arial"/>
        <family val="2"/>
      </rPr>
      <t>1-4,9</t>
    </r>
  </si>
  <si>
    <r>
      <t>Low dose MART dose</t>
    </r>
    <r>
      <rPr>
        <b/>
        <vertAlign val="superscript"/>
        <sz val="12"/>
        <rFont val="Arial"/>
        <family val="2"/>
      </rPr>
      <t>1-4,9</t>
    </r>
  </si>
  <si>
    <r>
      <t>Moderate dose MART dose</t>
    </r>
    <r>
      <rPr>
        <b/>
        <vertAlign val="superscript"/>
        <sz val="12"/>
        <rFont val="Arial"/>
        <family val="2"/>
      </rPr>
      <t>1-4,9</t>
    </r>
  </si>
  <si>
    <r>
      <t>Low-dose ICS MART cost based on maintenance dose plus one additional as needed inhalation dose per day for 28 days</t>
    </r>
    <r>
      <rPr>
        <b/>
        <vertAlign val="superscript"/>
        <sz val="12"/>
        <color rgb="FF000000"/>
        <rFont val="Arial"/>
        <family val="2"/>
      </rPr>
      <t>1,5,6</t>
    </r>
  </si>
  <si>
    <r>
      <t>Doses where an emergency steroid card should be issued</t>
    </r>
    <r>
      <rPr>
        <b/>
        <vertAlign val="superscript"/>
        <sz val="12"/>
        <color rgb="FF000000"/>
        <rFont val="Arial"/>
        <family val="2"/>
      </rPr>
      <t>10</t>
    </r>
  </si>
  <si>
    <r>
      <t>What is the carbon footprint attributed to overages(gCO</t>
    </r>
    <r>
      <rPr>
        <b/>
        <vertAlign val="subscript"/>
        <sz val="12"/>
        <rFont val="Arial"/>
        <family val="2"/>
      </rPr>
      <t>2</t>
    </r>
    <r>
      <rPr>
        <b/>
        <sz val="12"/>
        <rFont val="Arial"/>
        <family val="2"/>
      </rPr>
      <t>e)?</t>
    </r>
    <r>
      <rPr>
        <b/>
        <vertAlign val="superscript"/>
        <sz val="12"/>
        <rFont val="Arial"/>
        <family val="2"/>
      </rPr>
      <t>7</t>
    </r>
  </si>
  <si>
    <r>
      <t>Are there overages?</t>
    </r>
    <r>
      <rPr>
        <b/>
        <vertAlign val="superscript"/>
        <sz val="12"/>
        <rFont val="Arial"/>
        <family val="2"/>
      </rPr>
      <t>7</t>
    </r>
  </si>
  <si>
    <r>
      <t>What is the carbon footprint attributed to overages (gCO2e)?</t>
    </r>
    <r>
      <rPr>
        <b/>
        <vertAlign val="superscript"/>
        <sz val="12"/>
        <rFont val="Arial"/>
        <family val="2"/>
      </rPr>
      <t>7</t>
    </r>
  </si>
  <si>
    <r>
      <t>Carbon neutral (carbon footprint offset e.g. by planting forests and independently certified)</t>
    </r>
    <r>
      <rPr>
        <b/>
        <vertAlign val="superscript"/>
        <sz val="12"/>
        <rFont val="Arial"/>
        <family val="2"/>
      </rPr>
      <t>7</t>
    </r>
  </si>
  <si>
    <r>
      <t>Link to carbon neutral certificate</t>
    </r>
    <r>
      <rPr>
        <b/>
        <vertAlign val="superscript"/>
        <sz val="12"/>
        <rFont val="Arial"/>
        <family val="2"/>
      </rPr>
      <t>7</t>
    </r>
  </si>
  <si>
    <r>
      <t>Amount of propellant per inhaler (from PIL) (g)</t>
    </r>
    <r>
      <rPr>
        <b/>
        <vertAlign val="superscript"/>
        <sz val="12"/>
        <rFont val="Arial"/>
        <family val="2"/>
      </rPr>
      <t>12-13</t>
    </r>
  </si>
  <si>
    <r>
      <t>Carbon footprint per inhaler attributed to propellant tonnesCO</t>
    </r>
    <r>
      <rPr>
        <b/>
        <vertAlign val="subscript"/>
        <sz val="12"/>
        <rFont val="Arial"/>
        <family val="2"/>
      </rPr>
      <t>2</t>
    </r>
    <r>
      <rPr>
        <b/>
        <sz val="12"/>
        <rFont val="Arial"/>
        <family val="2"/>
      </rPr>
      <t>e (from PIL)</t>
    </r>
    <r>
      <rPr>
        <b/>
        <vertAlign val="superscript"/>
        <sz val="12"/>
        <rFont val="Arial"/>
        <family val="2"/>
      </rPr>
      <t>12-13</t>
    </r>
  </si>
  <si>
    <r>
      <t>Which propellant are you planning on moving this product to?</t>
    </r>
    <r>
      <rPr>
        <b/>
        <vertAlign val="superscript"/>
        <sz val="12"/>
        <rFont val="Arial"/>
        <family val="2"/>
      </rPr>
      <t>7</t>
    </r>
  </si>
  <si>
    <r>
      <t>Have you undertaken a life cycle analysis of this inhaler which includes the lower GWP/NGP propellant?</t>
    </r>
    <r>
      <rPr>
        <b/>
        <vertAlign val="superscript"/>
        <sz val="12"/>
        <rFont val="Arial"/>
        <family val="2"/>
      </rPr>
      <t>7</t>
    </r>
  </si>
  <si>
    <r>
      <t>State how the carbon footprint per inhaler will change</t>
    </r>
    <r>
      <rPr>
        <b/>
        <vertAlign val="superscript"/>
        <sz val="12"/>
        <rFont val="Arial"/>
        <family val="2"/>
      </rPr>
      <t>7</t>
    </r>
  </si>
  <si>
    <r>
      <t>Are you planning on undertaking an LCA once the inhaler with the NGP in the future?</t>
    </r>
    <r>
      <rPr>
        <b/>
        <vertAlign val="superscript"/>
        <sz val="12"/>
        <rFont val="Arial"/>
        <family val="2"/>
      </rPr>
      <t>7</t>
    </r>
  </si>
  <si>
    <t xml:space="preserve">10. PrescQIPP. Hot Topic. Implementing the steroid emergency card national patient safety alert- January 2021, updated July 2021. </t>
  </si>
  <si>
    <t>13. Patient information leaflet available from HPRA.</t>
  </si>
  <si>
    <t>14. Martindale AE, Morris DS, Cromarty T et al. Environmental impact of low-dose methoxyflurane versus nitrous oxide for analgesia: how green is the 'green whistle'? Emerg Med J 2024;41:69–75.</t>
  </si>
  <si>
    <t>Campona is being discontinued in the UK  towards the end of 2025</t>
  </si>
  <si>
    <t>Manufacturer states that Wockair is supplied in the same device as the Airflusal Forspiro and that WockAIR would present the same values as this inhaler. Used 2x value due to 2 x 60 dose inhalers make up the 120 doses.</t>
  </si>
  <si>
    <t>Key</t>
  </si>
  <si>
    <t>Changes from previous version</t>
  </si>
  <si>
    <t>12. Patient information leaflets available from eMC, MHRA websites and EPAR available from the emea website.</t>
  </si>
  <si>
    <t>Hyperlinks as for references 2, 3, 4</t>
  </si>
  <si>
    <t>Fobumix 80/4.5 licensed from 6+ and licensed for MART 12+. Low-dose MART doses added and referred to 160/4.5 strength inhaler for moderate-dose MART.</t>
  </si>
  <si>
    <t>6-11, 12-17, 18+. MART: 6+</t>
  </si>
  <si>
    <t>Symbicort 100/6 Turbohaler MART licensed doses for ages 6 to 11 years added.</t>
  </si>
  <si>
    <t>Completion of clinical development programme, for next generation propellants, and regulatory submissions to begin by end of 2025.</t>
  </si>
  <si>
    <t>Changes due to the latest update have been highlighted in yellow in the Inhaler CF v2.37 full tab and quick reference tab.</t>
  </si>
  <si>
    <r>
      <t>After first opening the pouch, the medicinal product should be used within 6 months and do not store above 25</t>
    </r>
    <r>
      <rPr>
        <sz val="12"/>
        <rFont val="Aptos Narrow"/>
        <family val="2"/>
      </rPr>
      <t>°</t>
    </r>
    <r>
      <rPr>
        <sz val="7.2"/>
        <rFont val="Arial"/>
        <family val="2"/>
      </rPr>
      <t>C</t>
    </r>
    <r>
      <rPr>
        <sz val="12"/>
        <rFont val="Arial"/>
        <family val="2"/>
      </rPr>
      <t>.</t>
    </r>
  </si>
  <si>
    <r>
      <t>Shelf-life (unopened)</t>
    </r>
    <r>
      <rPr>
        <b/>
        <vertAlign val="superscript"/>
        <sz val="12"/>
        <rFont val="Arial"/>
        <family val="2"/>
      </rPr>
      <t>2-4</t>
    </r>
    <r>
      <rPr>
        <b/>
        <sz val="12"/>
        <rFont val="Arial"/>
        <family val="2"/>
      </rPr>
      <t xml:space="preserve"> Refer to SmPC for full details</t>
    </r>
  </si>
  <si>
    <r>
      <t>Shelf-life (opened)</t>
    </r>
    <r>
      <rPr>
        <b/>
        <vertAlign val="superscript"/>
        <sz val="12"/>
        <rFont val="Arial"/>
        <family val="2"/>
      </rPr>
      <t>2-4</t>
    </r>
    <r>
      <rPr>
        <b/>
        <sz val="12"/>
        <rFont val="Arial"/>
        <family val="2"/>
      </rPr>
      <t xml:space="preserve"> Refer to SmPC for full details</t>
    </r>
  </si>
  <si>
    <r>
      <t>Inhaler storage</t>
    </r>
    <r>
      <rPr>
        <b/>
        <vertAlign val="superscript"/>
        <sz val="12"/>
        <rFont val="Arial"/>
        <family val="2"/>
      </rPr>
      <t>2-4</t>
    </r>
    <r>
      <rPr>
        <b/>
        <sz val="12"/>
        <rFont val="Arial"/>
        <family val="2"/>
      </rPr>
      <t xml:space="preserve"> Refer to SmPC for full details</t>
    </r>
  </si>
  <si>
    <t>39666511000001109</t>
  </si>
  <si>
    <t>https://emj.bmj.com/content/41/2/69</t>
  </si>
  <si>
    <r>
      <t>Literature value</t>
    </r>
    <r>
      <rPr>
        <vertAlign val="superscript"/>
        <sz val="12"/>
        <rFont val="Arial"/>
        <family val="2"/>
      </rPr>
      <t>14</t>
    </r>
  </si>
  <si>
    <t>Do not store above 30ºC
Do not freeze. Store protected from direct sunlight. The pressurised container contains a liquid. Do not expose to temperatures higher than 50ºC. Do not pierce or burn the pressurised container even when it is apparently empty.</t>
  </si>
  <si>
    <t>60 actuation pressurised container: Shelf life: 20 months. 
120 actuation pressurised container: Shelf life: 21 months. Store in a refrigerator (2°C-8°C).</t>
  </si>
  <si>
    <t>Changes from version 2.36</t>
  </si>
  <si>
    <t>No propellant data available in PIL</t>
  </si>
  <si>
    <t>Seretide Evohaler propellant carbon footprint values have been used.</t>
  </si>
  <si>
    <t>Clenil Modulite 100 carbon footprint values used.</t>
  </si>
  <si>
    <t>Seretide Evohaler propellant carbon footprint values used.</t>
  </si>
  <si>
    <t>Clenil Modulite 200 carbon footprint values used.</t>
  </si>
  <si>
    <t>Atrovent 20micrograms/dose inhaler carbon footprint value used.</t>
  </si>
  <si>
    <t>Symbicort 200/6micrograms pMDI carbon footprint value used.</t>
  </si>
  <si>
    <t>Seretide accuhaler 50/500 carbon footprint value used.</t>
  </si>
  <si>
    <t xml:space="preserve">Seretide Accuhaler carbon footprint value used. </t>
  </si>
  <si>
    <t>Spiriva DPI carbon footprint value used.</t>
  </si>
  <si>
    <t>Seretide Accuhaler carbon footprint value used.</t>
  </si>
  <si>
    <t>Airflusal Forspiro carbon footprint value used.</t>
  </si>
  <si>
    <t>Propellant carbon footprint from PIL.</t>
  </si>
  <si>
    <t>Certificates available on request from Chiesi.</t>
  </si>
  <si>
    <t>Is propellant ICF higher, lower or the same as the manufacturers stated inhaler carbon footprint or not applicable (N/A)</t>
  </si>
  <si>
    <t>Inhaler not available</t>
  </si>
  <si>
    <t>Do not store above 30ºC. If stored in a refrigerator allow the inhaler to return to room temperature for at least an hour before use. Keep the inhaler inside the sealed tray in order to protect from moisture and only remove immediately before first use. Write the date the inhaler should be discarded on the label in the space provided. The date should be added as soon as the inhaler has been removed from the tray.</t>
  </si>
  <si>
    <t>Do not store above 30°C.
As with most inhaled medicines in aerosol canisters, the therapeutic effect may decrease when the canister is cold.
Protect from frost and direct sunlight. The canister contains a pressurised liquid. Do not expose to temperatures higher than 50°C. Do not pierce the canister.</t>
  </si>
  <si>
    <t>The canister contains a pressurised liquid. Do not expose to temperatures higher than 50°C. Do not pierce the canister.</t>
  </si>
  <si>
    <t xml:space="preserve">The canister contains a pressurised liquid. Do not expose to temperatures higher than 50°C. Do not pierce the canister.
</t>
  </si>
  <si>
    <t>Store in the original package in order to protect from moisture. Only remove the inhaler from its foil package immediately before first use. This medicinal product does not require any special temperature storage conditions.</t>
  </si>
  <si>
    <t>Packs with 1 container (60 actuation or 120 actuation): Prior to dispensing: Store in a refrigerator (2°C-8°C). 
Multipacks of 2 or 3 containers (120 actuations, each): Prior to and after dispensing: Store in a refrigerator (2°C-8°C). Before use, patients should take the inhaler out of the refrigerator for some minutes to allow for the solution to warm up.</t>
  </si>
  <si>
    <t>Do not freeze. Do not expose to temperatures higher than 50°C. Do not pierce the pressurised container. Prior to dispensing: Store in a refrigerator (2°C-8°C).</t>
  </si>
  <si>
    <t>No data for overages available.</t>
  </si>
  <si>
    <t xml:space="preserve">Extrafine particle size distribution which results in a more potent effect than formulations of beclometasone dipropionate with a non-extrafine particle size distribution (100 micrograms of beclometasone dipropionate extrafine in Trimbow are equivalent to 250 micrograms of beclometasone dipropionate in a non-extrafine formulation). </t>
  </si>
  <si>
    <t>Extrafine particle size distribution which results in a more potent effect than formulations of beclometasone dipropionate with a non-extrafine particle size distribution (100 micrograms of beclometasone dipropionate extrafine in Trimbow are equivalent to 250 micrograms of beclometasone dipropionate in a non-extrafine formulation).</t>
  </si>
  <si>
    <t>After dispensing, the medicinal product may be stored for a maximum of 2 months at a temperature up to 25°C. 120 and 180 actuation pressurised container:  After dispensing, the medicinal product may be stored for a maximum of 4 months at a temperature up to 25°C.</t>
  </si>
  <si>
    <t>Do not store above 25°C. Keep the inhaler in the original package in order to protect from moisture and only remove from the pouch immediately before first use.
After first opening the pouch, the medicinal product should be used within 6 weeks and stored in a dry place.</t>
  </si>
  <si>
    <t>Do not store above 30°C. Do not expose to temperatures higher than 50°C. Do not pierce the pressurised container. Store in a dry place.</t>
  </si>
  <si>
    <t>Shelf-life: 21 months. Prior to dispensing to the patient: Store in a refrigerator (2-8° C) for a maximum of 18 months.</t>
  </si>
  <si>
    <t>1478511000001108</t>
  </si>
  <si>
    <t>Inhaler discontinued</t>
  </si>
  <si>
    <t>Airomir 100 micrograms (discontinued inhaler)</t>
  </si>
  <si>
    <t>Beclu 100 micrograms per actuation pressurised inhalation solution (discontinued)</t>
  </si>
  <si>
    <t>Beclu 200 micrograms  per actuation pressurised inhalation solution (discontinued)</t>
  </si>
  <si>
    <r>
      <t>Have overages been included in the total carbon footprint per inhaler values submitted?</t>
    </r>
    <r>
      <rPr>
        <b/>
        <vertAlign val="superscript"/>
        <sz val="12"/>
        <rFont val="Arial"/>
        <family val="2"/>
      </rPr>
      <t>7</t>
    </r>
  </si>
  <si>
    <t>Shelf life after first opening the container: 6 months
Device (Powder inhaler=Novolizer)- In-use shelf life: 1 year or 10 cartridges</t>
  </si>
  <si>
    <t>Budelin Novolizer 200 micrograms (cartridge only)</t>
  </si>
  <si>
    <t>Budelin Novolizer 200 micrograms (cartridge + inhaler)</t>
  </si>
  <si>
    <t>Salbulin Novolizer 100 micrograms (cartridge only)</t>
  </si>
  <si>
    <t>Salbulin Novolizer 100 micrograms (cartridge + inhaler)</t>
  </si>
  <si>
    <r>
      <t>Indicative carbon footprint /inhaler (g CO</t>
    </r>
    <r>
      <rPr>
        <b/>
        <vertAlign val="subscript"/>
        <sz val="12"/>
        <rFont val="Arial"/>
        <family val="2"/>
      </rPr>
      <t>2</t>
    </r>
    <r>
      <rPr>
        <b/>
        <sz val="12"/>
        <rFont val="Arial"/>
        <family val="2"/>
      </rPr>
      <t>e)</t>
    </r>
  </si>
  <si>
    <t>Campona Airmaster 50 micrograms/100micrograms/ dose inhalation powder, pre-dispensed (discontinued end 2025)</t>
  </si>
  <si>
    <t>Campona Airmaster 50 micrograms/250micrograms/ dose inhalation powder, pre-dispensed (discontinued end 2025)</t>
  </si>
  <si>
    <t>Campona Airmaster 50 micrograms/500micrograms/ dose inhalation powder, pre-dispensed (discontinued end 2025)</t>
  </si>
  <si>
    <t>Added a note in the brand name and comment columns that Campona Airmaster will no longer be available from the end of 2025 in the UK.</t>
  </si>
  <si>
    <t>The methodology used to produce the updated inhaler carbon footprint values are outlined in attachment 2 within the PrescQIPP inhaler carbon footprint resources.</t>
  </si>
  <si>
    <r>
      <t>Low (</t>
    </r>
    <r>
      <rPr>
        <b/>
        <sz val="12"/>
        <rFont val="Aptos Narrow"/>
        <family val="2"/>
      </rPr>
      <t>≤</t>
    </r>
    <r>
      <rPr>
        <b/>
        <sz val="12"/>
        <rFont val="Arial"/>
        <family val="2"/>
      </rPr>
      <t>1796 gCO</t>
    </r>
    <r>
      <rPr>
        <b/>
        <vertAlign val="subscript"/>
        <sz val="12"/>
        <rFont val="Arial"/>
        <family val="2"/>
      </rPr>
      <t>2</t>
    </r>
    <r>
      <rPr>
        <b/>
        <sz val="12"/>
        <rFont val="Arial"/>
        <family val="2"/>
      </rPr>
      <t>e) or High (&gt;</t>
    </r>
    <r>
      <rPr>
        <b/>
        <sz val="12"/>
        <rFont val="Calibri"/>
        <family val="2"/>
      </rPr>
      <t xml:space="preserve">1796 </t>
    </r>
    <r>
      <rPr>
        <b/>
        <sz val="12"/>
        <rFont val="Arial"/>
        <family val="2"/>
      </rPr>
      <t>gCO</t>
    </r>
    <r>
      <rPr>
        <b/>
        <vertAlign val="subscript"/>
        <sz val="12"/>
        <rFont val="Arial"/>
        <family val="2"/>
      </rPr>
      <t>2</t>
    </r>
    <r>
      <rPr>
        <b/>
        <sz val="12"/>
        <rFont val="Arial"/>
        <family val="2"/>
      </rPr>
      <t>e) carbon footprint/inhaler</t>
    </r>
  </si>
  <si>
    <t>High carbon footprint inhaler defined as &gt;1796gCO2e in column AJ in line with explanation in methodology.</t>
  </si>
  <si>
    <r>
      <t>Carbon footprint per inhaler attributed to propellant PrescQIPP calculated as gCO2e (from PIL or as assigned in the methodology)</t>
    </r>
    <r>
      <rPr>
        <b/>
        <vertAlign val="superscript"/>
        <sz val="12"/>
        <rFont val="Arial"/>
        <family val="2"/>
      </rPr>
      <t>11-13</t>
    </r>
  </si>
  <si>
    <t xml:space="preserve">9. BTS, NICE and SIGN. Inhaled corticosteroid doses for the BTS, NICE and SIGN asthma guideline. Last updated 12 November 2025. </t>
  </si>
  <si>
    <t>Age 12+:  One inhalation twice daily or two inhalations once daily. One additional inhalation as needed. No more than 6 inhalations on a single occasion. Maximum 8 to 12 inhalations daily.</t>
  </si>
  <si>
    <t>No licensed dose. Consider using higher strength equivalent inhaler.</t>
  </si>
  <si>
    <t>Age 12+: One inhalation twice daily or two inhalations in the morning or evening. One additional inhalation as needed. No more than 6 inhalations on a single occasion. Maximum 8 to 12 inhalations daily. (Nb. Dose is at lower end of low-dose range)</t>
  </si>
  <si>
    <t>No licensed dose. Use Fobumix Easyhaler 160/4.5 micrograms.</t>
  </si>
  <si>
    <t>Children aged 5-11 years: One inhalation per day or twice daily if appropriate. One additional inhalation as needed. No more than 4 inhalations on a single occasion. Maximum 4 to 8 inhalations daily.                                                                                                                                                                                 Age 12+: One inhalation twice daily or two inhalations once a day. One additional inhalation as needed. No more than 6 inhalations on a single occasion. Maximum 8 to 12 inhalations daily.</t>
  </si>
  <si>
    <t>Children aged 5-11 years: One inhalation per day or twice daily if appropriate. One additional inhalation as needed. No more than 8 inhalations on a single occasion. Maximum 8 inhalations daily. Maximum 12 to 16 inhalations daily. Children using high doses should have their treatment reassessed. (Nb. Off-label) Age 12+: Two inhalation twice daily or four inhalations once a day. Two additional inhalation as needed. No more than 12 inhalations on a single occasion. Maximum 16 to 24 inhalations daily.</t>
  </si>
  <si>
    <t xml:space="preserve">Children aged 5-11 years (Off-label): Two inhalations twice a day. No more than 8 inhalations on a single occasion. Maximum 12 inhalations daily. Children using high doses should have their treatment reassessed. Age 12+:Use Symbicort 200/6 Turbohaler </t>
  </si>
  <si>
    <t>Children aged 5-11 years (Off-label): Two inhalations twice a day. No more than 4 inhalations on a single occasion. Maximum 4 to 8 inhalations daily. Children using high doses should have their treatment reassessed. Age 12+:Use Symbicort 200/6 Turbohaler</t>
  </si>
  <si>
    <t>Updated AIR/MART dose information in line with the updated NICE Inhaled corticosteroid doses for the BTS,NICE, SIGN asthma guideline reference 9.</t>
  </si>
  <si>
    <r>
      <t>21 months shelf-life</t>
    </r>
    <r>
      <rPr>
        <sz val="12"/>
        <color rgb="FFFF0000"/>
        <rFont val="Arial"/>
        <family val="2"/>
      </rPr>
      <t xml:space="preserve">. 
</t>
    </r>
    <r>
      <rPr>
        <sz val="12"/>
        <rFont val="Arial"/>
        <family val="2"/>
      </rPr>
      <t>Prior to dispensing to the patient: Store in a refrigerator (2-8° C) for a maximum of 18 months.</t>
    </r>
  </si>
  <si>
    <t>Enerzair Breezhaler (with sensor)(discontinued)</t>
  </si>
  <si>
    <t>Enerzair breezhaler with sensor has been discontinued according to DM&amp;D. Inhaler without the sensor is still available.</t>
  </si>
  <si>
    <t>Age 12+ (Off-label): Two inhalations twice daily. One additional inhalation as needed. Maximum 8 inhalations daily.</t>
  </si>
  <si>
    <t>Age 18+(licensed)/Age 12-17 years(off-label): One inhalation twice daily. One additional inhalation as needed. Maximum 8 inhalations daily.</t>
  </si>
  <si>
    <t>Single pack of 120 doses or 180 doses or double pack of 120 doses: Shelf-life maximum of 21 months
Prior to dispensing to the patient: Store in a refrigerator (2-8° C) for a maximum of 18 months.</t>
  </si>
  <si>
    <t>Shelf-life:  maximum of 21 months. 
Prior to dispensing to the patient: Store in a refrigerator (2-8° C) for a maximum of 18 months.</t>
  </si>
  <si>
    <t>Airomir 100 micrograms pMDI added 'discontinued'.</t>
  </si>
  <si>
    <t>Deleted Adasuve from non-asthma or COPD inhalers tab as this has been discontinued and as advised by manufacturer.</t>
  </si>
  <si>
    <t>Single pack of 120 doses or 180 doses: After dispensing: Do not store above 25° C (for a maximum of 3 months)
Double pack of 120 doses: After first use: Do not store above 25°C for a maximum of 3 months.</t>
  </si>
  <si>
    <t>Changes from version 2.37</t>
  </si>
  <si>
    <t xml:space="preserve">NHS list prices corrected in quick reference tab from Airomir 100 micrograms (discontinued inhaler) onwards. </t>
  </si>
  <si>
    <t>Brand name1</t>
  </si>
  <si>
    <t xml:space="preserve">11. Environment Agency and Department for Environment, Food &amp; Rural Affairs. Guidance: Calculate the carbon dioxide equivalent quantity of an F gas. Published 31 December 2014. Last updated 16 January 2024. </t>
  </si>
  <si>
    <t xml:space="preserve">https://ghgprotocol.org/sites/default/files/2024-08/Global-Warming-Potential-Values%20%28August%202024%29.pdf </t>
  </si>
  <si>
    <t>Changes from version 2.38</t>
  </si>
  <si>
    <t xml:space="preserve">Propellant weight and AR calculations tab added. </t>
  </si>
  <si>
    <t>Reference 15 added.</t>
  </si>
  <si>
    <t>Note added in explaining which AR values for global warming potential of propellants is used in patient information leaflets.</t>
  </si>
  <si>
    <t>AR4 values for global warming potential are used in patient information leaflets to calculate the propellant carbon footprint for all inhalers except Trixeo aerosphere where the AR6 value is used.</t>
  </si>
  <si>
    <t xml:space="preserve">15. Greenhouse gas protocol. IPCC Global Warmining Potential Values. Version 2.0. Published August 7, 2024. </t>
  </si>
  <si>
    <r>
      <t>Calculated  carbon footprint per inhaler attributed to propellant using AR5 value 1300 in gCO2e</t>
    </r>
    <r>
      <rPr>
        <b/>
        <vertAlign val="superscript"/>
        <sz val="12"/>
        <color theme="1"/>
        <rFont val="Calibri"/>
        <family val="2"/>
        <scheme val="minor"/>
      </rPr>
      <t>15</t>
    </r>
  </si>
  <si>
    <r>
      <t>Calculated  carbon footprint per inhaler attributed to propellant using AR6 value 1530 in gCO2e</t>
    </r>
    <r>
      <rPr>
        <b/>
        <vertAlign val="superscript"/>
        <sz val="12"/>
        <color theme="1"/>
        <rFont val="Calibri"/>
        <family val="2"/>
        <scheme val="minor"/>
      </rPr>
      <t>15</t>
    </r>
  </si>
  <si>
    <r>
      <t>Carbon footprint per inhaler attributed to propellant tonnesCO2e (from PIL)</t>
    </r>
    <r>
      <rPr>
        <b/>
        <vertAlign val="superscript"/>
        <sz val="12"/>
        <color theme="1"/>
        <rFont val="Calibri"/>
        <family val="2"/>
        <scheme val="minor"/>
      </rPr>
      <t>12-13</t>
    </r>
  </si>
  <si>
    <r>
      <t>Carbon footprint per inhaler attributed to propellant PrescQIPP calculated as gCO2e (from PIL or as assigned in the methodology)</t>
    </r>
    <r>
      <rPr>
        <b/>
        <vertAlign val="superscript"/>
        <sz val="12"/>
        <color theme="1"/>
        <rFont val="Calibri"/>
        <family val="2"/>
        <scheme val="minor"/>
      </rPr>
      <t>11-13</t>
    </r>
  </si>
  <si>
    <t>&lt;9.5</t>
  </si>
  <si>
    <r>
      <t>Amount of propellant per inhaler (from PIL) (g)</t>
    </r>
    <r>
      <rPr>
        <b/>
        <vertAlign val="superscript"/>
        <sz val="12"/>
        <color theme="1"/>
        <rFont val="Calibri"/>
        <family val="2"/>
        <scheme val="minor"/>
      </rPr>
      <t>12-13</t>
    </r>
    <r>
      <rPr>
        <b/>
        <sz val="12"/>
        <color theme="1"/>
        <rFont val="Calibri"/>
        <family val="2"/>
        <scheme val="minor"/>
      </rPr>
      <t>*</t>
    </r>
  </si>
  <si>
    <t>*AR4 values for global warming potential are used in patient information leaflets to calculate the propellant carbon footprint for all inhalers except Trixeo aerosphere where the AR6 value is used.</t>
  </si>
  <si>
    <t>HFO-1234ze</t>
  </si>
  <si>
    <t>Asthalin 100 micrograms inhaler</t>
  </si>
  <si>
    <t>Salbutamol 100 micrograms/puff</t>
  </si>
  <si>
    <t>Do not store above 30°C. Do not expose to temperatures higher than 50°C. Do not pierce the canister.</t>
  </si>
  <si>
    <t>45738411000001102</t>
  </si>
  <si>
    <t>Amount of propellant in the inhaler multiplied by the GWP of HF134a - 1430.</t>
  </si>
  <si>
    <t>Not applicable</t>
  </si>
  <si>
    <t>Changes from version 2.39</t>
  </si>
  <si>
    <t>Last updated 30/3/2026</t>
  </si>
  <si>
    <t>Asthalin inhaler added.</t>
  </si>
  <si>
    <t>60 dose inhaler discontinued 09/03/2026.</t>
  </si>
  <si>
    <t>Alvesco 160 micrograms (discontinued 09/03/26)</t>
  </si>
  <si>
    <t>Alvesco 160 micrograms (discontinued 09/03/2026)</t>
  </si>
  <si>
    <t>Added in that the 60 dose inhaler of Alvesco 160 inhaler was discontinued 09/03/2026.</t>
  </si>
  <si>
    <t>Asmanex Twisthaler 200 micrograms (discontinued 04/03/2026)</t>
  </si>
  <si>
    <t>Asmanex Twisthaler 400 micrograms (discontinued 04/03/2026)</t>
  </si>
  <si>
    <t>Discontinued 04/03/2026</t>
  </si>
  <si>
    <t>Discontinued 04/03/2027</t>
  </si>
  <si>
    <t>Discontinued 04/03/2028</t>
  </si>
  <si>
    <t>Discontinued 04/03/2029</t>
  </si>
  <si>
    <t>Asmanex Twisthaler 200 micrograms  (discontinued 04/03/2026)</t>
  </si>
  <si>
    <t>Added in that all strengths and pack sizes of Asmanex Twisthaler were discontined 04/03/2026.</t>
  </si>
  <si>
    <t>Changes from last version highlighted in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</si>
</sst>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0.0000"/>
    <numFmt numFmtId="167" formatCode="0.000"/>
  </numFmts>
  <fonts count="33" x14ac:knownFonts="1">
    <font>
      <sz val="12"/>
      <color theme="1"/>
      <name val="Calibri"/>
      <family val="2"/>
      <scheme val="minor"/>
    </font>
    <font>
      <sz val="12"/>
      <name val="Arial"/>
      <family val="2"/>
    </font>
    <font>
      <b/>
      <sz val="12"/>
      <name val="Arial"/>
      <family val="2"/>
    </font>
    <font>
      <sz val="8"/>
      <name val="Calibri"/>
      <family val="2"/>
      <scheme val="minor"/>
    </font>
    <font>
      <b/>
      <vertAlign val="subscript"/>
      <sz val="12"/>
      <name val="Arial"/>
      <family val="2"/>
    </font>
    <font>
      <b/>
      <vertAlign val="superscript"/>
      <sz val="12"/>
      <name val="Arial"/>
      <family val="2"/>
    </font>
    <font>
      <sz val="12"/>
      <name val="Calibri"/>
      <family val="2"/>
      <scheme val="minor"/>
    </font>
    <font>
      <vertAlign val="superscript"/>
      <sz val="12"/>
      <name val="Arial"/>
      <family val="2"/>
    </font>
    <font>
      <vertAlign val="subscript"/>
      <sz val="12"/>
      <name val="Arial"/>
      <family val="2"/>
    </font>
    <font>
      <u/>
      <sz val="12"/>
      <color theme="10"/>
      <name val="Calibri"/>
      <family val="2"/>
      <scheme val="minor"/>
    </font>
    <font>
      <b/>
      <sz val="12"/>
      <color theme="1"/>
      <name val="Calibri"/>
      <family val="2"/>
      <scheme val="minor"/>
    </font>
    <font>
      <sz val="12"/>
      <color theme="1"/>
      <name val="Arial"/>
      <family val="2"/>
    </font>
    <font>
      <sz val="11"/>
      <color theme="1"/>
      <name val="Aptos"/>
      <family val="2"/>
    </font>
    <font>
      <b/>
      <sz val="11"/>
      <color theme="1"/>
      <name val="Aptos"/>
      <family val="2"/>
    </font>
    <font>
      <b/>
      <sz val="12"/>
      <color rgb="FF000000"/>
      <name val="Arial"/>
      <family val="2"/>
    </font>
    <font>
      <b/>
      <vertAlign val="superscript"/>
      <sz val="12"/>
      <color rgb="FF000000"/>
      <name val="Arial"/>
      <family val="2"/>
    </font>
    <font>
      <b/>
      <sz val="12"/>
      <name val="Calibri"/>
      <family val="2"/>
    </font>
    <font>
      <sz val="12"/>
      <color theme="1"/>
      <name val="Calibri"/>
      <family val="2"/>
      <scheme val="minor"/>
    </font>
    <font>
      <sz val="12"/>
      <color rgb="FF1D1F25"/>
      <name val="Arial"/>
      <family val="2"/>
    </font>
    <font>
      <sz val="12"/>
      <color rgb="FF1D1F25"/>
      <name val="Segoe UI"/>
      <family val="2"/>
    </font>
    <font>
      <sz val="12"/>
      <color rgb="FF161616"/>
      <name val="Source Sans Pro"/>
      <family val="2"/>
    </font>
    <font>
      <sz val="12"/>
      <name val="Aptos Narrow"/>
      <family val="2"/>
    </font>
    <font>
      <sz val="11"/>
      <color rgb="FF161616"/>
      <name val="Source Sans Pro"/>
      <family val="2"/>
    </font>
    <font>
      <b/>
      <sz val="22"/>
      <color rgb="FF005EB8"/>
      <name val="Calibri"/>
      <family val="2"/>
    </font>
    <font>
      <b/>
      <sz val="18"/>
      <color rgb="FF005EB8"/>
      <name val="Calibri"/>
      <family val="2"/>
    </font>
    <font>
      <b/>
      <sz val="12"/>
      <name val="Aptos Narrow"/>
      <family val="2"/>
    </font>
    <font>
      <i/>
      <u/>
      <sz val="12"/>
      <name val="Arial"/>
      <family val="2"/>
    </font>
    <font>
      <b/>
      <vertAlign val="superscript"/>
      <sz val="12"/>
      <color theme="1"/>
      <name val="Calibri"/>
      <family val="2"/>
      <scheme val="minor"/>
    </font>
    <font>
      <sz val="7.2"/>
      <name val="Arial"/>
      <family val="2"/>
    </font>
    <font>
      <sz val="12"/>
      <name val="Segoe UI"/>
      <family val="2"/>
    </font>
    <font>
      <sz val="12"/>
      <color rgb="FFFF0000"/>
      <name val="Arial"/>
      <family val="2"/>
    </font>
    <font>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43" fontId="17" fillId="0" borderId="0" applyFont="0" applyFill="0" applyBorder="0" applyAlignment="0" applyProtection="0"/>
  </cellStyleXfs>
  <cellXfs count="115">
    <xf numFmtId="0" fontId="0" fillId="0" borderId="0" xfId="0"/>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64" fontId="1" fillId="0" borderId="2" xfId="0" applyNumberFormat="1" applyFont="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6" fillId="0" borderId="0" xfId="0" applyFont="1" applyAlignment="1">
      <alignment wrapText="1"/>
    </xf>
    <xf numFmtId="0" fontId="10" fillId="0" borderId="0" xfId="0" applyFont="1"/>
    <xf numFmtId="49" fontId="0" fillId="0" borderId="0" xfId="0" applyNumberFormat="1"/>
    <xf numFmtId="49" fontId="0" fillId="0" borderId="0" xfId="0" quotePrefix="1" applyNumberFormat="1"/>
    <xf numFmtId="0" fontId="12" fillId="0" borderId="0" xfId="0" applyFont="1" applyAlignment="1">
      <alignment wrapText="1"/>
    </xf>
    <xf numFmtId="0" fontId="13" fillId="0" borderId="0" xfId="0" applyFont="1" applyAlignment="1">
      <alignment wrapText="1"/>
    </xf>
    <xf numFmtId="0" fontId="1" fillId="0" borderId="1" xfId="0" applyFont="1" applyBorder="1" applyAlignment="1">
      <alignment horizontal="left" vertical="top" wrapText="1"/>
    </xf>
    <xf numFmtId="0" fontId="9" fillId="0" borderId="1" xfId="1" applyBorder="1" applyAlignment="1">
      <alignment vertical="top" wrapText="1"/>
    </xf>
    <xf numFmtId="0" fontId="0" fillId="0" borderId="0" xfId="0" applyAlignment="1">
      <alignment vertical="top"/>
    </xf>
    <xf numFmtId="0" fontId="10" fillId="0" borderId="1" xfId="0" applyFont="1" applyBorder="1" applyAlignment="1">
      <alignment vertical="top" wrapText="1"/>
    </xf>
    <xf numFmtId="0" fontId="2" fillId="0" borderId="1" xfId="0" applyFont="1" applyBorder="1" applyAlignment="1">
      <alignment horizontal="left" vertical="top" wrapText="1"/>
    </xf>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0" fillId="0" borderId="0" xfId="0" applyFont="1" applyAlignment="1">
      <alignment wrapText="1"/>
    </xf>
    <xf numFmtId="0" fontId="23" fillId="0" borderId="0" xfId="0" applyFont="1" applyAlignment="1">
      <alignment vertical="center" wrapText="1"/>
    </xf>
    <xf numFmtId="0" fontId="24" fillId="0" borderId="0" xfId="0" applyFont="1" applyAlignment="1">
      <alignment vertical="center" wrapText="1"/>
    </xf>
    <xf numFmtId="0" fontId="1" fillId="0" borderId="5" xfId="0" applyFont="1" applyBorder="1" applyAlignment="1">
      <alignment horizontal="center" vertical="center" wrapText="1"/>
    </xf>
    <xf numFmtId="1"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9" fillId="0" borderId="1" xfId="1" applyBorder="1" applyAlignment="1">
      <alignment wrapText="1"/>
    </xf>
    <xf numFmtId="14" fontId="10" fillId="0" borderId="0" xfId="0" applyNumberFormat="1" applyFont="1"/>
    <xf numFmtId="49" fontId="10" fillId="4" borderId="1" xfId="0" applyNumberFormat="1" applyFont="1" applyFill="1" applyBorder="1" applyAlignment="1">
      <alignment horizontal="center" vertical="center" wrapText="1"/>
    </xf>
    <xf numFmtId="1" fontId="10" fillId="4" borderId="1" xfId="0" applyNumberFormat="1" applyFont="1" applyFill="1" applyBorder="1" applyAlignment="1">
      <alignment horizontal="center" vertical="center" wrapText="1"/>
    </xf>
    <xf numFmtId="0" fontId="6" fillId="0" borderId="1" xfId="1" applyFont="1" applyBorder="1" applyAlignment="1">
      <alignment wrapText="1"/>
    </xf>
    <xf numFmtId="0" fontId="1" fillId="0" borderId="0" xfId="0" applyFont="1" applyAlignment="1">
      <alignment horizontal="center" vertical="center" wrapText="1"/>
    </xf>
    <xf numFmtId="0" fontId="1" fillId="5" borderId="1" xfId="0" applyFont="1" applyFill="1" applyBorder="1" applyAlignment="1">
      <alignment horizontal="center" vertical="center" wrapText="1"/>
    </xf>
    <xf numFmtId="1" fontId="1" fillId="5" borderId="1" xfId="0" quotePrefix="1"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1" fontId="1" fillId="3" borderId="1" xfId="0" quotePrefix="1"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wrapText="1"/>
    </xf>
    <xf numFmtId="0" fontId="9" fillId="0" borderId="0" xfId="1" applyFill="1"/>
    <xf numFmtId="0" fontId="10" fillId="2" borderId="0" xfId="0" applyFont="1" applyFill="1"/>
    <xf numFmtId="0" fontId="10" fillId="0" borderId="0" xfId="0" applyFont="1" applyAlignment="1">
      <alignment horizontal="center" wrapText="1"/>
    </xf>
    <xf numFmtId="0" fontId="0" fillId="0" borderId="0" xfId="0" applyAlignment="1">
      <alignment horizontal="center"/>
    </xf>
    <xf numFmtId="0" fontId="0" fillId="0" borderId="0" xfId="0" applyAlignment="1">
      <alignment horizontal="center" vertical="center"/>
    </xf>
    <xf numFmtId="0" fontId="31" fillId="0" borderId="0" xfId="0" applyFont="1" applyAlignment="1">
      <alignment wrapText="1"/>
    </xf>
    <xf numFmtId="2" fontId="0" fillId="0" borderId="0" xfId="0" applyNumberFormat="1" applyAlignment="1">
      <alignment horizontal="center"/>
    </xf>
    <xf numFmtId="1" fontId="0" fillId="0" borderId="0" xfId="0" applyNumberFormat="1" applyAlignment="1">
      <alignment horizontal="center"/>
    </xf>
    <xf numFmtId="0" fontId="1" fillId="0" borderId="0" xfId="0" applyFont="1" applyAlignment="1">
      <alignment horizontal="left" vertical="top" wrapText="1"/>
    </xf>
    <xf numFmtId="0" fontId="9" fillId="0" borderId="0" xfId="1" applyBorder="1" applyAlignment="1">
      <alignment wrapText="1"/>
    </xf>
    <xf numFmtId="0" fontId="1" fillId="0" borderId="4" xfId="0" applyFont="1" applyBorder="1" applyAlignment="1">
      <alignment horizontal="left" vertical="top" wrapText="1"/>
    </xf>
    <xf numFmtId="0" fontId="9" fillId="0" borderId="0" xfId="1" applyAlignment="1">
      <alignment wrapText="1"/>
    </xf>
    <xf numFmtId="2" fontId="10" fillId="0" borderId="0" xfId="0" applyNumberFormat="1" applyFont="1" applyAlignment="1">
      <alignment horizontal="center" wrapText="1"/>
    </xf>
    <xf numFmtId="165" fontId="10" fillId="0" borderId="0" xfId="0" applyNumberFormat="1" applyFont="1" applyAlignment="1">
      <alignment horizontal="center" wrapText="1"/>
    </xf>
    <xf numFmtId="165" fontId="0" fillId="0" borderId="0" xfId="0" applyNumberFormat="1" applyAlignment="1">
      <alignment horizontal="center"/>
    </xf>
    <xf numFmtId="1" fontId="10" fillId="0" borderId="0" xfId="0" applyNumberFormat="1" applyFont="1" applyAlignment="1">
      <alignment horizontal="center" wrapText="1"/>
    </xf>
    <xf numFmtId="0" fontId="32" fillId="0" borderId="0" xfId="1" applyFont="1" applyFill="1"/>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1" fontId="1" fillId="0" borderId="1" xfId="0" quotePrefix="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 fillId="0" borderId="1" xfId="0" applyFont="1" applyFill="1" applyBorder="1" applyAlignment="1">
      <alignment horizontal="center" vertical="center"/>
    </xf>
    <xf numFmtId="2"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center" vertical="center"/>
    </xf>
    <xf numFmtId="1" fontId="1" fillId="0" borderId="1" xfId="2"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1" fillId="0" borderId="1" xfId="2" applyNumberFormat="1"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1" fontId="1" fillId="0" borderId="1" xfId="2"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22" fillId="0" borderId="1" xfId="0" applyFont="1" applyFill="1" applyBorder="1" applyAlignment="1">
      <alignment vertical="center" wrapText="1"/>
    </xf>
    <xf numFmtId="0" fontId="11" fillId="0" borderId="1" xfId="0" applyFont="1" applyFill="1" applyBorder="1" applyAlignment="1">
      <alignment vertical="center" wrapText="1"/>
    </xf>
    <xf numFmtId="0" fontId="19" fillId="0" borderId="1" xfId="0" applyFont="1" applyFill="1" applyBorder="1" applyAlignment="1">
      <alignment vertical="center" wrapText="1"/>
    </xf>
    <xf numFmtId="1" fontId="9" fillId="0" borderId="1" xfId="1" applyNumberFormat="1" applyFill="1" applyBorder="1" applyAlignment="1">
      <alignment horizontal="center" vertical="center" wrapText="1"/>
    </xf>
    <xf numFmtId="0" fontId="6"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readingOrder="1"/>
    </xf>
    <xf numFmtId="0" fontId="1" fillId="0" borderId="1" xfId="0" applyFont="1" applyFill="1" applyBorder="1" applyAlignment="1">
      <alignment vertical="center" wrapText="1"/>
    </xf>
    <xf numFmtId="0" fontId="22" fillId="0" borderId="0" xfId="0" applyFont="1" applyFill="1" applyAlignment="1">
      <alignment vertical="center" wrapText="1"/>
    </xf>
    <xf numFmtId="17" fontId="1" fillId="0" borderId="1" xfId="0" applyNumberFormat="1" applyFont="1" applyFill="1" applyBorder="1" applyAlignment="1">
      <alignment horizontal="center" vertical="center" wrapText="1"/>
    </xf>
    <xf numFmtId="0" fontId="0" fillId="3" borderId="0" xfId="0" applyFill="1"/>
    <xf numFmtId="2" fontId="0" fillId="3" borderId="0" xfId="0" applyNumberFormat="1" applyFill="1" applyAlignment="1">
      <alignment horizontal="center"/>
    </xf>
    <xf numFmtId="165" fontId="0" fillId="3" borderId="0" xfId="0" applyNumberFormat="1" applyFill="1" applyAlignment="1">
      <alignment horizontal="center"/>
    </xf>
    <xf numFmtId="1" fontId="0" fillId="3" borderId="0" xfId="0" applyNumberFormat="1" applyFill="1" applyAlignment="1">
      <alignment horizontal="center"/>
    </xf>
    <xf numFmtId="167" fontId="0" fillId="3" borderId="0" xfId="0" applyNumberFormat="1" applyFill="1" applyAlignment="1">
      <alignment horizontal="center"/>
    </xf>
    <xf numFmtId="0" fontId="6" fillId="3" borderId="1" xfId="0" applyFont="1" applyFill="1" applyBorder="1" applyAlignment="1">
      <alignment horizontal="center" vertical="center" wrapText="1"/>
    </xf>
    <xf numFmtId="0" fontId="0" fillId="0" borderId="0" xfId="0" applyFill="1"/>
  </cellXfs>
  <cellStyles count="3">
    <cellStyle name="Comma" xfId="2" builtinId="3"/>
    <cellStyle name="Hyperlink" xfId="1" builtinId="8"/>
    <cellStyle name="Normal" xfId="0" builtinId="0"/>
  </cellStyles>
  <dxfs count="183">
    <dxf>
      <font>
        <color rgb="FF9C0006"/>
      </font>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dxf>
    <dxf>
      <font>
        <b val="0"/>
        <strike val="0"/>
        <outline val="0"/>
        <shadow val="0"/>
        <u val="no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outline="0">
        <left style="thin">
          <color indexed="64"/>
        </left>
      </border>
    </dxf>
    <dxf>
      <font>
        <b val="0"/>
        <strike val="0"/>
        <outline val="0"/>
        <shadow val="0"/>
        <u val="no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outline="0">
        <left style="thin">
          <color indexed="64"/>
        </left>
        <right style="thin">
          <color indexed="64"/>
        </right>
      </border>
    </dxf>
    <dxf>
      <font>
        <b val="0"/>
        <strike val="0"/>
        <outline val="0"/>
        <shadow val="0"/>
        <u val="no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outline="0">
        <left style="thin">
          <color indexed="64"/>
        </left>
        <right style="thin">
          <color indexed="64"/>
        </right>
      </border>
    </dxf>
    <dxf>
      <font>
        <b val="0"/>
        <strike val="0"/>
        <outline val="0"/>
        <shadow val="0"/>
        <u val="no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outline="0">
        <left style="thin">
          <color indexed="64"/>
        </left>
        <right style="thin">
          <color indexed="64"/>
        </right>
      </border>
    </dxf>
    <dxf>
      <font>
        <b val="0"/>
        <strike val="0"/>
        <outline val="0"/>
        <shadow val="0"/>
        <u val="no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rgb="FF000000"/>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strike val="0"/>
        <outline val="0"/>
        <shadow val="0"/>
        <u val="no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sz val="12"/>
        <color auto="1"/>
        <name val="Arial"/>
        <family val="2"/>
        <scheme val="none"/>
      </font>
      <numFmt numFmtId="30" formatCode="@"/>
      <fill>
        <patternFill patternType="none">
          <fgColor rgb="FF000000"/>
          <bgColor rgb="FFFFFFFF"/>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title pos="t" align="ctr" overlay="0">
      <cx:tx>
        <cx:txData>
          <cx:v>Inhaler carbon footprint value histogram</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Inhaler carbon footprint value histogram</a:t>
          </a:r>
        </a:p>
      </cx:txPr>
    </cx:title>
    <cx:plotArea>
      <cx:plotAreaRegion>
        <cx:series layoutId="clusteredColumn" uniqueId="{0654002D-4BF3-4E76-BD76-6CD3E7D3CBB7}">
          <cx:tx>
            <cx:txData>
              <cx:f>_xlchart.v1.1</cx:f>
              <cx:v>Indicative carbon footprint /inhaler (gCO2e) 7,8</cx:v>
            </cx:txData>
          </cx:tx>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3F5A26E-F9AC-429B-B9BE-E830D56F00A3}">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absoluteAnchor>
    <xdr:pos x="0" y="0"/>
    <xdr:ext cx="9299408" cy="6074276"/>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E2A21610-3337-BF64-6223-D55B5A3F3B04}"/>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ctangle 1">
          <a:extLst xmlns:a="http://schemas.openxmlformats.org/drawingml/2006/main">
            <a:ext uri="{FF2B5EF4-FFF2-40B4-BE49-F238E27FC236}">
              <a16:creationId xmlns:a16="http://schemas.microsoft.com/office/drawing/2014/main" id="{AB81928E-86E3-77A1-1E15-C8D6487149D8}"/>
            </a:ext>
          </a:extLst>
        </cdr:cNvPr>
        <cdr:cNvSpPr>
          <a:spLocks xmlns:a="http://schemas.openxmlformats.org/drawingml/2006/main" noTextEdit="1"/>
        </cdr:cNvSpPr>
      </cdr:nvSpPr>
      <cdr:spPr>
        <a:xfrm xmlns:a="http://schemas.openxmlformats.org/drawingml/2006/main">
          <a:off x="0" y="0"/>
          <a:ext cx="9299408" cy="6074276"/>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en-GB" sz="1100"/>
            <a:t>This chart isn't available in your version of Excel.
Editing this shape or saving this workbook into a different file format will permanently break the chart.</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1935FD-A762-4C36-BC46-E21156B9F27A}" name="Table13" displayName="Table13" ref="A1:BS160" totalsRowCount="1" headerRowDxfId="144" dataDxfId="72">
  <autoFilter ref="A1:BS159" xr:uid="{3E646C26-0827-4C25-A459-E0B74188CD90}"/>
  <tableColumns count="71">
    <tableColumn id="1" xr3:uid="{DBDAD3EC-D629-4D70-A636-DBF8A629E29E}" name="Brand name1" dataDxfId="143" totalsRowDxfId="71"/>
    <tableColumn id="16" xr3:uid="{DA874ABE-8A9B-4DAA-938C-70B73D232150}" name="Manufacturer1" dataDxfId="142" totalsRowDxfId="70"/>
    <tableColumn id="2" xr3:uid="{3427279D-86EB-4093-BADB-5420AA682393}" name="Generic name1" dataDxfId="141" totalsRowDxfId="69"/>
    <tableColumn id="15" xr3:uid="{8631B296-6CE8-46CF-959B-4AAA7FE7992F}" name="Indication: asthma, COPD or asthma and COPD1-4" dataDxfId="140" totalsRowDxfId="68"/>
    <tableColumn id="3" xr3:uid="{79C6531C-DAEE-4F16-8F92-94E74C13CFC3}" name="Therapeutic group1" dataDxfId="139" totalsRowDxfId="67"/>
    <tableColumn id="4" xr3:uid="{728073AD-59BB-4466-B826-DD14CBB3B754}" name="Device type1" dataDxfId="138" totalsRowDxfId="66"/>
    <tableColumn id="5" xr3:uid="{00656EB8-E67F-48A0-90D2-3A1DA2777060}" name="Doses per inhaler1,2" dataDxfId="137" totalsRowDxfId="65"/>
    <tableColumn id="6" xr3:uid="{BC23CEDA-481A-49E5-B560-A712C400496B}" name="NHS cost per inhaler 1,5-7" dataDxfId="136" totalsRowDxfId="64"/>
    <tableColumn id="7" xr3:uid="{21027495-8CB1-44BD-A752-D2967FDA0BA6}" name="Cost/puff 1,5-7" dataDxfId="135" totalsRowDxfId="63"/>
    <tableColumn id="8" xr3:uid="{35F53008-D74F-4263-8C97-A2B930C39A20}" name="Age licensed from1-4" dataDxfId="134" totalsRowDxfId="62"/>
    <tableColumn id="9" xr3:uid="{6A1986E6-F462-4804-8644-3814E75132FD}" name="Age ranges for doses1-4" dataDxfId="133" totalsRowDxfId="61"/>
    <tableColumn id="10" xr3:uid="{644AB0BE-B676-4796-A470-AD4AB421AEB3}" name="MART licence?1-4" dataDxfId="132" totalsRowDxfId="60"/>
    <tableColumn id="21" xr3:uid="{09EC6947-9591-4264-92A1-6BD62AF51335}" name="AIR therapy licence?1-4" dataDxfId="131" totalsRowDxfId="59"/>
    <tableColumn id="14" xr3:uid="{5C22FB1B-6FBD-40E1-8AC0-3C55CEEABB91}" name="AIR therapy dose2" dataDxfId="130" totalsRowDxfId="58"/>
    <tableColumn id="24" xr3:uid="{88044548-1E65-4AD4-8ACD-F40CBBABE779}" name="Low dose ICS dose1-4,9" dataDxfId="129" totalsRowDxfId="57"/>
    <tableColumn id="25" xr3:uid="{51042FFE-EEAC-4B76-96A0-ABFE751AE71D}" name="Moderate dose ICS dose1-4,9" dataDxfId="128" totalsRowDxfId="56"/>
    <tableColumn id="33" xr3:uid="{891983C3-0B5A-4712-AB2C-C95DF502AF27}" name="High dose ICS dose1-4,9" dataDxfId="127" totalsRowDxfId="55"/>
    <tableColumn id="55" xr3:uid="{91B2F465-677B-44F1-99B2-14E7990C3CED}" name="Low dose ICS/LABA1-4,9" dataDxfId="126" totalsRowDxfId="54"/>
    <tableColumn id="34" xr3:uid="{B84BD195-9292-48DB-85DA-0C9ADB270FAA}" name="Moderate dose ICS/LABA1-4,9" dataDxfId="125" totalsRowDxfId="53"/>
    <tableColumn id="57" xr3:uid="{3ACEEB8C-6FD2-47FB-8FCE-C1E80154E340}" name="High dose ICS/LABA1-4,9" dataDxfId="124" totalsRowDxfId="52"/>
    <tableColumn id="26" xr3:uid="{6DC5C88B-6BC0-4AF7-BEAA-5257A94D70DD}" name="Low dose MART dose1-4,9" dataDxfId="123" totalsRowDxfId="51"/>
    <tableColumn id="30" xr3:uid="{A5639FB7-D679-4BA1-BE02-CDB6C1036FF8}" name="Moderate dose MART dose1-4,9" dataDxfId="122" totalsRowDxfId="50"/>
    <tableColumn id="31" xr3:uid="{9D9243F5-479A-483E-891E-011F49151A79}" name="Low-dose ICS MART cost based on maintenance dose plus one additional as needed inhalation dose per day for 28 days1,5,6" dataDxfId="121" totalsRowDxfId="49"/>
    <tableColumn id="32" xr3:uid="{CC1FCFC7-6697-4FDA-B905-1A00A4A0DBBD}" name="Moderate-dose ICS MART cost based on maintenance dose plus one additional as needed inhalation dose per day for 28 days.1,5,6" dataDxfId="120" totalsRowDxfId="48"/>
    <tableColumn id="13" xr3:uid="{F62AC2B3-6685-4651-A8A2-46B98B5968C6}" name="Doses where an emergency steroid card should be issued10" dataDxfId="119" totalsRowDxfId="47"/>
    <tableColumn id="27" xr3:uid="{0AA96AE5-289B-4A11-975A-0B8B0B2A98A1}" name="Dose counter?1-4" dataDxfId="118" totalsRowDxfId="46"/>
    <tableColumn id="11" xr3:uid="{D6037F4E-8791-4BE9-A28A-B44151688FFA}" name="Shelf-life (unopened)2-4 Refer to SmPC for full details" dataDxfId="117" totalsRowDxfId="45"/>
    <tableColumn id="28" xr3:uid="{53EFCB85-BC2C-47F4-802E-3C46D9540CB8}" name="Shelf-life (opened)2-4 Refer to SmPC for full details" dataDxfId="116" totalsRowDxfId="44"/>
    <tableColumn id="20" xr3:uid="{7A4E439C-964E-4DA8-A977-2EED7A53C983}" name="Inhaler storage2-4 Refer to SmPC for full details" dataDxfId="115" totalsRowDxfId="43"/>
    <tableColumn id="19" xr3:uid="{A76B792A-FF34-45AF-8096-32D1EA1B5047}" name="Indicative carbon footprint /inhaler (gCO2e) 7,8" dataDxfId="114" totalsRowDxfId="42"/>
    <tableColumn id="23" xr3:uid="{784F71FF-1C84-48DD-86C7-74D1F4BCF359}" name="Carbon footprint attributed to propellant only, manufacturers data or as stated in methodology" dataDxfId="113" totalsRowDxfId="41"/>
    <tableColumn id="53" xr3:uid="{5C22DDB9-B57E-446E-B15E-5F803FE15343}" name="Have overages been included in the total carbon footprint per inhaler values submitted?7" dataDxfId="112" totalsRowDxfId="40"/>
    <tableColumn id="59" xr3:uid="{BBE699CE-1D5A-42F0-8C58-AE79D7EE125A}" name="What is the carbon footprint attributed to overages(gCO2e)?7" dataDxfId="111" totalsRowDxfId="39"/>
    <tableColumn id="58" xr3:uid="{D8EBFD0E-12C0-4FEA-AE02-CA0A557E748D}" name="Are there overages?7" dataDxfId="110" totalsRowDxfId="38"/>
    <tableColumn id="60" xr3:uid="{5BD0785A-6DDD-40F2-8BC4-FDD03957249A}" name="What is the carbon footprint attributed to overages (gCO2e)?7" dataDxfId="109" totalsRowDxfId="37"/>
    <tableColumn id="56" xr3:uid="{B576EEC9-27D7-48DB-AC05-F885B0D56E78}" name="Low (≤1796 gCO2e) or High (&gt;1796 gCO2e) carbon footprint/inhaler" dataDxfId="108" totalsRowDxfId="36">
      <calculatedColumnFormula>IF(Table13[[#This Row],[Indicative carbon footprint /inhaler (gCO2e) 7,8]]&gt;1796,"High","Low")</calculatedColumnFormula>
    </tableColumn>
    <tableColumn id="22" xr3:uid="{55ADA28A-1EBB-4F8F-95D8-24F8C5618A50}" name="Carbon neutral (carbon footprint offset e.g. by planting forests and independently certified)7" dataDxfId="107" totalsRowDxfId="35"/>
    <tableColumn id="66" xr3:uid="{E791B83E-82EB-4B7D-8047-8BCD5550A4FB}" name="Link to carbon neutral certificate7" dataDxfId="106" totalsRowDxfId="34"/>
    <tableColumn id="52" xr3:uid="{B46A65C8-1FB8-4FE3-B96E-F5BBB6FB2BED}" name="Comments" dataDxfId="105" totalsRowDxfId="33"/>
    <tableColumn id="17" xr3:uid="{E48DE9CB-A127-4DD3-BABF-D1CDC3BE7736}" name="Propellant (from SPC)" dataDxfId="104" totalsRowDxfId="32"/>
    <tableColumn id="67" xr3:uid="{A5D6561F-834A-4902-B588-159A4257DD42}" name="Amount of propellant per inhaler (from PIL) (g)12-13" dataDxfId="103" totalsRowDxfId="31"/>
    <tableColumn id="68" xr3:uid="{380C30C4-C594-4F22-B470-0894E95EAD03}" name="Carbon footprint per inhaler attributed to propellant tonnesCO2e (from PIL)12-13" dataDxfId="102" totalsRowDxfId="30"/>
    <tableColumn id="69" xr3:uid="{721EFF21-F280-45EF-933F-3B2CCC6F9B0C}" name="Carbon footprint per inhaler attributed to propellant PrescQIPP calculated as gCO2e (from PIL or as assigned in the methodology)11-13" dataDxfId="101" totalsRowDxfId="29"/>
    <tableColumn id="51" xr3:uid="{7C633851-1284-4255-9398-398F4D772375}" name="Product AMPP SNOMED code6" dataDxfId="100" totalsRowDxfId="28"/>
    <tableColumn id="50" xr3:uid="{BFFDA2D1-631E-49BF-A5B3-F556B8343D5C}" name="Primary care rebate available (England)?7" dataDxfId="99" totalsRowDxfId="27"/>
    <tableColumn id="35" xr3:uid="{E4D6C48B-3F6E-4C56-A337-1299E9126FA8}" name="Please state how the carbon footprint per actuation (g CO2e) was calculated where this information is available7" dataDxfId="98" totalsRowDxfId="26"/>
    <tableColumn id="36" xr3:uid="{8AA1B411-319E-4F52-A796-0D08F14530DB}" name="Inhaler carbon footprint attributed to raw materials API and excipients manufacturing per inhaler (including the propellant) (g CO2e)7 " dataDxfId="97" totalsRowDxfId="25"/>
    <tableColumn id="37" xr3:uid="{E99C7E9F-44CE-4B62-AF9D-8D10AE465F40}" name="Inhaler carbon footprint attributed to raw materials inhaler device components per inhaler (g CO2e)7 " dataDxfId="96" totalsRowDxfId="24"/>
    <tableColumn id="38" xr3:uid="{EE9DCD42-7DB1-4245-BDDF-6FD0F9E5A4BF}" name="Inhaler carbon footprint attributed to raw materials for packaging per inhaler (g CO2e)7" dataDxfId="95" totalsRowDxfId="23"/>
    <tableColumn id="39" xr3:uid="{875F6964-E93A-448A-83E3-C2704B2DD35A}" name="Inhaler carbon footprint attributed to raw materials transportation per inhaler (g CO2e)7" dataDxfId="94" totalsRowDxfId="22"/>
    <tableColumn id="40" xr3:uid="{29F171B1-60F3-4F50-B6C1-6AC98824B2B2}" name="Carbon footprint attributed to energy and water consumption per inhaler (g CO2e)7" dataDxfId="93" totalsRowDxfId="21"/>
    <tableColumn id="41" xr3:uid="{909C3F31-75CB-413B-9E03-D499F87ABA9B}" name="Carbon footprint attributed to manufacturing waste per inhaler (g CO2e)7" dataDxfId="92" totalsRowDxfId="20"/>
    <tableColumn id="42" xr3:uid="{BA0D06D0-00E4-4C87-9B4D-F08EC2F1C78F}" name="Carbon footprint attributed to HF leaks and air emissions per inhaler (g CO2e)7" dataDxfId="91" totalsRowDxfId="19"/>
    <tableColumn id="43" xr3:uid="{21DA44F9-9458-4799-B8BC-CA23385BAA37}" name="Carbon footprint attributed to distribution and transportation per inhaler (g CO2e)7" dataDxfId="90" totalsRowDxfId="18"/>
    <tableColumn id="44" xr3:uid="{C4C948F8-8AEE-40FC-815A-47DF85491477}" name="Carbon footprint attributed to user phase  per inhaler (g CO2e)7" dataDxfId="89" totalsRowDxfId="17"/>
    <tableColumn id="45" xr3:uid="{56C42522-009F-41CD-82C7-50F48FF9041B}" name="Carbon footprint attributed to end of life per inhaler (g CO2e)7" dataDxfId="88" totalsRowDxfId="16"/>
    <tableColumn id="46" xr3:uid="{8439579A-AE2C-4E6D-AD44-E9A3E4908056}" name="Carbon footprint attributed to other carbon emission data held per inhaler (g CO2e)7" dataDxfId="87" totalsRowDxfId="15"/>
    <tableColumn id="47" xr3:uid="{57898A24-9260-4FE2-AFF8-F1F9CC93BE73}" name="Do you have plans to change to HFA152a propellant or alternative lower GWP value propellant?7" dataDxfId="86" totalsRowDxfId="14"/>
    <tableColumn id="48" xr3:uid="{7911B85B-49DF-4A5D-8124-509E9636ADB8}" name="When do you plan to introduce lower GWP propellants in your inhalers?7" dataDxfId="85" totalsRowDxfId="13"/>
    <tableColumn id="61" xr3:uid="{330D7DB0-0E99-42AE-AD88-7A1405838447}" name="Which propellant are you planning on moving this product to?7" dataDxfId="84" totalsRowDxfId="12"/>
    <tableColumn id="62" xr3:uid="{48FD66E1-9B57-498F-BCFC-B590946AC302}" name="Have you undertaken a life cycle analysis of this inhaler which includes the lower GWP/NGP propellant?7" dataDxfId="83" totalsRowDxfId="11"/>
    <tableColumn id="65" xr3:uid="{75D1A9E7-3EDD-4564-AA10-C1CF12FD1C51}" name="State how the carbon footprint per inhaler will change7" dataDxfId="82" totalsRowDxfId="10"/>
    <tableColumn id="63" xr3:uid="{8B8D1B14-8F5F-4771-BC81-C33541B5850E}" name="Are you planning on undertaking an LCA once the inhaler with the NGP in the future?7" dataDxfId="81" totalsRowDxfId="9"/>
    <tableColumn id="49" xr3:uid="{854C5EB1-B0EE-43D7-B649-5A313067A913}" name="Further information on the carbon footprint of this product7" dataDxfId="80" totalsRowDxfId="8"/>
    <tableColumn id="54" xr3:uid="{43AF9F86-68E5-4759-85F8-28F7019D422C}" name="Form checked" dataDxfId="79" totalsRowDxfId="7"/>
    <tableColumn id="70" xr3:uid="{C1A0A12E-B85B-48B6-ABEE-8AD50E5F6E42}" name="Is propellant ICF higher, lower or the same as the manufacturers stated inhaler carbon footprint or not applicable (N/A)" dataDxfId="78" totalsRowDxfId="6"/>
    <tableColumn id="12" xr3:uid="{EBDB7974-6A6B-44CC-80A9-BFBFF96DD044}" name="Inhaler carbon footprint per inhaler in v2.36 (gCO2e) " dataDxfId="77" totalsRowDxfId="5"/>
    <tableColumn id="71" xr3:uid="{8F1F1B5A-A68C-476F-944C-D04EBC23833C}" name="Inhaler carbon footprint per inhaler in v2.37 (gCO2e) " dataDxfId="76" totalsRowDxfId="4"/>
    <tableColumn id="18" xr3:uid="{8A59CCC0-B48D-40A1-9A9C-73A9D16CD3C5}" name="Change in carbon footprint per inhaler v2.36 vs v2.37" dataDxfId="75" totalsRowDxfId="3"/>
    <tableColumn id="29" xr3:uid="{DC2520F1-6BE9-4AA9-9485-6884F6941EE6}" name="Change in carbon footprint per inhaler compared to v2.36 (gCO2e) " dataDxfId="74" totalsRowDxfId="2">
      <calculatedColumnFormula>Table13[[#This Row],[Inhaler carbon footprint per inhaler in v2.37 (gCO2e) ]]-Table13[[#This Row],[Inhaler carbon footprint per inhaler in v2.36 (gCO2e) ]]</calculatedColumnFormula>
    </tableColumn>
    <tableColumn id="72" xr3:uid="{4EE178A7-358D-4150-A31E-225D6432B08A}" name="Change in carbon footprint compared to version 2.1" totalsRowFunction="average" dataDxfId="73" totalsRow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1E29F-CE30-4ADC-839A-CAB939045B55}" name="Table133" displayName="Table133" ref="A1:R12" totalsRowCount="1" headerRowDxfId="182" dataDxfId="181">
  <autoFilter ref="A1:R11" xr:uid="{3E646C26-0827-4C25-A459-E0B74188CD90}"/>
  <tableColumns count="18">
    <tableColumn id="1" xr3:uid="{C408A9C8-32A7-447A-B567-3B2019E09A92}" name="Brand name6" dataDxfId="180" totalsRowDxfId="179"/>
    <tableColumn id="16" xr3:uid="{2CFC1EB4-2C13-4C1F-9820-7D950C118D77}" name="Manufacturer6" dataDxfId="178" totalsRowDxfId="177"/>
    <tableColumn id="2" xr3:uid="{ED11B3BC-EDF0-40E7-80BD-74A41BD2C2F3}" name="Generic name6" dataDxfId="176" totalsRowDxfId="175"/>
    <tableColumn id="15" xr3:uid="{00788CE0-4741-44B9-AA3F-CA5FF9AB8B1E}" name="Indication: asthma, COPD or asthma and COPD or other 1-4" dataDxfId="174" totalsRowDxfId="173"/>
    <tableColumn id="3" xr3:uid="{4EDC120C-3C89-46D7-8021-5B52F0B4F98D}" name="Therapeutic group1,2" dataDxfId="172" totalsRowDxfId="171"/>
    <tableColumn id="4" xr3:uid="{0ED3CF89-204D-4782-9312-A4BE68F8E550}" name="Device type6" dataDxfId="170" totalsRowDxfId="169"/>
    <tableColumn id="5" xr3:uid="{362140D6-FEB2-41DA-9E2B-A27D4450CC5C}" name="Doses per inhaler6" dataDxfId="168" totalsRowDxfId="167"/>
    <tableColumn id="6" xr3:uid="{0154CAC7-906B-4F54-91DA-7F8A2F94EB15}" name="NHS cost per inhaler6" dataDxfId="166" totalsRowDxfId="165"/>
    <tableColumn id="7" xr3:uid="{13D4499F-D94E-497A-9AAA-914CF2344D41}" name="Cost/puff " dataDxfId="164" totalsRowDxfId="163"/>
    <tableColumn id="8" xr3:uid="{2AD0E1FC-4F7A-464C-89A9-2E24E4391FAD}" name="Age licensed from1-4" dataDxfId="162" totalsRowDxfId="161"/>
    <tableColumn id="9" xr3:uid="{64D34C3F-78D0-4E78-9BBC-E6D76A51F37B}" name="Age ranges for doses1-4" dataDxfId="160" totalsRowDxfId="159"/>
    <tableColumn id="19" xr3:uid="{9B984017-B64A-4E8C-AD40-796B513A6410}" name="Indicative carbon footprint /inhaler (g CO2e)" dataDxfId="158" totalsRowDxfId="157"/>
    <tableColumn id="56" xr3:uid="{A7DCB4C1-778A-4E46-BEEA-8D0338D99A99}" name="Low (≤1700 gCO2e) or High (&gt;1700 gCO2e) carbon footprint/inhaler" dataDxfId="156" totalsRowDxfId="155">
      <calculatedColumnFormula>IF(Table133[[#This Row],[Indicative carbon footprint /inhaler (g CO2e)]]&lt;1700,"Low","High")</calculatedColumnFormula>
    </tableColumn>
    <tableColumn id="52" xr3:uid="{3987DBB3-AB4D-482B-B6D7-2EA73E70B359}" name="Comments" dataDxfId="154" totalsRowDxfId="153"/>
    <tableColumn id="18" xr3:uid="{AA323671-2E2A-46B6-BA77-1E9D2062C8BA}" name="Carbon footprint attributed to propellant only, manufacturers data or as stated in methodology" dataDxfId="152" totalsRowDxfId="151"/>
    <tableColumn id="51" xr3:uid="{DCE10DD7-415E-44F4-8AFC-BBAEBD3BC6C3}" name="Product AMPP SNOMED code6" dataDxfId="150" totalsRowDxfId="149"/>
    <tableColumn id="50" xr3:uid="{2FE4FEEB-93CA-4471-9314-F06A2C0C72EC}" name="Primary care rebate available (England)?7" dataDxfId="148" totalsRowDxfId="147"/>
    <tableColumn id="35" xr3:uid="{5CFE17B9-7FBD-4BFC-A158-92D7319AF0C2}" name="Please state how the carbon footprint per actuation (g CO2e) was calculated where this information is available7" dataDxfId="146" totalsRowDxfId="14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rescqipp.info/our-resources/bulletins/bulletin-375-inhaler-carbon-footprin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orionpharma.com/sustainability/environment/environmental-impacts-of-operations/carbon-footprint-assessment-of-orions-dry-powder-inhalers/" TargetMode="External"/><Relationship Id="rId13" Type="http://schemas.openxmlformats.org/officeDocument/2006/relationships/hyperlink" Target="https://www.orionpharma.com/sustainability/environment/environmental-impacts-of-operations/carbon-footprint-assessment-of-orions-dry-powder-inhalers/" TargetMode="External"/><Relationship Id="rId3" Type="http://schemas.openxmlformats.org/officeDocument/2006/relationships/hyperlink" Target="https://www.orionpharma.com/sustainability/environment/environmental-impacts-of-operations/carbon-footprint-assessment-of-orions-dry-powder-inhalers/" TargetMode="External"/><Relationship Id="rId7" Type="http://schemas.openxmlformats.org/officeDocument/2006/relationships/hyperlink" Target="https://www.orionpharma.com/sustainability/environment/environmental-impacts-of-operations/carbon-footprint-assessment-of-orions-dry-powder-inhalers/" TargetMode="External"/><Relationship Id="rId12" Type="http://schemas.openxmlformats.org/officeDocument/2006/relationships/hyperlink" Target="https://www.orionpharma.com/sustainability/environment/environmental-impacts-of-operations/carbon-footprint-assessment-of-orions-dry-powder-inhalers/" TargetMode="External"/><Relationship Id="rId17" Type="http://schemas.openxmlformats.org/officeDocument/2006/relationships/table" Target="../tables/table1.xml"/><Relationship Id="rId2" Type="http://schemas.openxmlformats.org/officeDocument/2006/relationships/hyperlink" Target="https://www.lupinhealthcare.co.uk/carbon-neutral-explained/" TargetMode="External"/><Relationship Id="rId16" Type="http://schemas.openxmlformats.org/officeDocument/2006/relationships/printerSettings" Target="../printerSettings/printerSettings1.bin"/><Relationship Id="rId1" Type="http://schemas.openxmlformats.org/officeDocument/2006/relationships/hyperlink" Target="https://www.lupinhealthcare.co.uk/carbon-neutral-explained/" TargetMode="External"/><Relationship Id="rId6" Type="http://schemas.openxmlformats.org/officeDocument/2006/relationships/hyperlink" Target="https://www.orionpharma.com/sustainability/environment/environmental-impacts-of-operations/carbon-footprint-assessment-of-orions-dry-powder-inhalers/" TargetMode="External"/><Relationship Id="rId11" Type="http://schemas.openxmlformats.org/officeDocument/2006/relationships/hyperlink" Target="https://www.orionpharma.com/sustainability/environment/environmental-impacts-of-operations/carbon-footprint-assessment-of-orions-dry-powder-inhalers/" TargetMode="External"/><Relationship Id="rId5" Type="http://schemas.openxmlformats.org/officeDocument/2006/relationships/hyperlink" Target="https://www.orionpharma.com/sustainability/environment/environmental-impacts-of-operations/carbon-footprint-assessment-of-orions-dry-powder-inhalers/" TargetMode="External"/><Relationship Id="rId15" Type="http://schemas.openxmlformats.org/officeDocument/2006/relationships/hyperlink" Target="https://www.orionpharma.com/sustainability/environment/environmental-impacts-of-operations/carbon-footprint-assessment-of-orions-dry-powder-inhalers/" TargetMode="External"/><Relationship Id="rId10" Type="http://schemas.openxmlformats.org/officeDocument/2006/relationships/hyperlink" Target="https://www.orionpharma.com/sustainability/environment/environmental-impacts-of-operations/carbon-footprint-assessment-of-orions-dry-powder-inhalers/" TargetMode="External"/><Relationship Id="rId4" Type="http://schemas.openxmlformats.org/officeDocument/2006/relationships/hyperlink" Target="https://www.orionpharma.com/sustainability/environment/environmental-impacts-of-operations/carbon-footprint-assessment-of-orions-dry-powder-inhalers/" TargetMode="External"/><Relationship Id="rId9" Type="http://schemas.openxmlformats.org/officeDocument/2006/relationships/hyperlink" Target="https://www.orionpharma.com/sustainability/environment/environmental-impacts-of-operations/carbon-footprint-assessment-of-orions-dry-powder-inhalers/" TargetMode="External"/><Relationship Id="rId14" Type="http://schemas.openxmlformats.org/officeDocument/2006/relationships/hyperlink" Target="https://www.orionpharma.com/sustainability/environment/environmental-impacts-of-operations/carbon-footprint-assessment-of-orions-dry-powder-inhaler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nice.org.uk/guidance/ng245/resources" TargetMode="External"/><Relationship Id="rId13" Type="http://schemas.openxmlformats.org/officeDocument/2006/relationships/hyperlink" Target="https://ghgprotocol.org/sites/default/files/2024-08/Global-Warming-Potential-Values%20%28August%202024%29.pdf" TargetMode="External"/><Relationship Id="rId3" Type="http://schemas.openxmlformats.org/officeDocument/2006/relationships/hyperlink" Target="https://www.medicines.org.uk/emc/" TargetMode="External"/><Relationship Id="rId7" Type="http://schemas.openxmlformats.org/officeDocument/2006/relationships/hyperlink" Target="https://www.prescqipp.info/our-resources/bulletins/bulletin-295-inhaler-carbon-footprint/" TargetMode="External"/><Relationship Id="rId12" Type="http://schemas.openxmlformats.org/officeDocument/2006/relationships/hyperlink" Target="https://emj.bmj.com/content/41/2/69" TargetMode="External"/><Relationship Id="rId2" Type="http://schemas.openxmlformats.org/officeDocument/2006/relationships/hyperlink" Target="https://bnf.nice.org.uk/" TargetMode="External"/><Relationship Id="rId1" Type="http://schemas.openxmlformats.org/officeDocument/2006/relationships/hyperlink" Target="https://services.nhsbsa.nhs.uk/dmd-browser/" TargetMode="External"/><Relationship Id="rId6" Type="http://schemas.openxmlformats.org/officeDocument/2006/relationships/hyperlink" Target="http://www.cddata.co.uk/" TargetMode="External"/><Relationship Id="rId11" Type="http://schemas.openxmlformats.org/officeDocument/2006/relationships/hyperlink" Target="https://www.hpra.ie/find-a-medicine/for-human-use/authorised-medicines?data=eyJpZCI6bnVsbCwic2tpcCI6MCwidGFrZSI6MTAsInF1ZXJ5IjoiYWlyZmx1c2FsIiwib3JkZXIiOiJMYXN0VXBkYXRlZCBERVNDIiwic3RhdHVzIjoiQXV0aG9yaXNlZCIsImZpbHRlcnMiOnsiZnJvbSI6bnVsbCwidG8iOm51bGwsInJvdXRlcyI6bnVsbCwicGxhY2VPZlNhbGUiOm51bGwsImFkdmVydGlzaW5nQ29uZGl0aW9ucyI6bnVsbCwibWFya2V0aW5nQXZhaWxhYmlsaXR5IjpudWxsLCJhdGNDb2RlIjpudWxsLCJtZWRpY2luZVR5cGUiOm51bGx9fQ%3D%3D" TargetMode="External"/><Relationship Id="rId5" Type="http://schemas.openxmlformats.org/officeDocument/2006/relationships/hyperlink" Target="https://products.mhra.gov.uk/" TargetMode="External"/><Relationship Id="rId10" Type="http://schemas.openxmlformats.org/officeDocument/2006/relationships/hyperlink" Target="https://www.gov.uk/guidance/calculate-the-carbon-dioxide-equivalent-quantity-of-an-f-gas" TargetMode="External"/><Relationship Id="rId4" Type="http://schemas.openxmlformats.org/officeDocument/2006/relationships/hyperlink" Target="https://www.ema.europa.eu/en/glossary/european-public-assessment-report" TargetMode="External"/><Relationship Id="rId9" Type="http://schemas.openxmlformats.org/officeDocument/2006/relationships/hyperlink" Target="https://www.prescqipp.info/our-resources/webkits/hot-topic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1AF1F-7E3D-4DD3-9483-D44CB8306C52}">
  <dimension ref="A1:A3"/>
  <sheetViews>
    <sheetView workbookViewId="0"/>
  </sheetViews>
  <sheetFormatPr defaultRowHeight="15.75" x14ac:dyDescent="0.25"/>
  <cols>
    <col min="1" max="1" width="159.125" customWidth="1"/>
  </cols>
  <sheetData>
    <row r="1" spans="1:1" ht="28.5" x14ac:dyDescent="0.25">
      <c r="A1" s="33" t="s">
        <v>958</v>
      </c>
    </row>
    <row r="2" spans="1:1" ht="23.25" x14ac:dyDescent="0.25">
      <c r="A2" s="34"/>
    </row>
    <row r="3" spans="1:1" x14ac:dyDescent="0.25">
      <c r="A3" s="52" t="s">
        <v>1114</v>
      </c>
    </row>
  </sheetData>
  <hyperlinks>
    <hyperlink ref="A3" r:id="rId1" xr:uid="{E631A699-B91C-4903-B01D-47506E222C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44FE-2A45-4708-AA44-D97B64F34402}">
  <dimension ref="A1:BS162"/>
  <sheetViews>
    <sheetView tabSelected="1" zoomScale="40" zoomScaleNormal="40" workbookViewId="0">
      <pane xSplit="1" ySplit="1" topLeftCell="B11" activePane="bottomRight" state="frozen"/>
      <selection pane="topRight" activeCell="B1" sqref="B1"/>
      <selection pane="bottomLeft" activeCell="A2" sqref="A2"/>
      <selection pane="bottomRight" activeCell="A19" sqref="A19"/>
    </sheetView>
  </sheetViews>
  <sheetFormatPr defaultColWidth="10.875" defaultRowHeight="15" x14ac:dyDescent="0.25"/>
  <cols>
    <col min="1" max="1" width="20.375" style="2" customWidth="1"/>
    <col min="2" max="2" width="14.25" style="2" customWidth="1"/>
    <col min="3" max="3" width="15.75" style="2" customWidth="1"/>
    <col min="4" max="7" width="14.25" style="2" customWidth="1"/>
    <col min="8" max="9" width="14.25" style="1" customWidth="1"/>
    <col min="10" max="20" width="14.25" style="2" customWidth="1"/>
    <col min="21" max="21" width="14.75" style="2" customWidth="1"/>
    <col min="22" max="28" width="14.25" style="2" customWidth="1"/>
    <col min="29" max="29" width="21.125" style="2" customWidth="1"/>
    <col min="30" max="30" width="14.25" style="3" customWidth="1"/>
    <col min="31" max="37" width="14.25" style="2" customWidth="1"/>
    <col min="38" max="38" width="14.25" style="31" customWidth="1"/>
    <col min="39" max="39" width="14.25" style="3" customWidth="1"/>
    <col min="40" max="42" width="14.25" style="2" customWidth="1"/>
    <col min="43" max="43" width="18.625" style="3" customWidth="1"/>
    <col min="44" max="45" width="14.25" style="2" customWidth="1"/>
    <col min="46" max="46" width="23.125" style="2" customWidth="1"/>
    <col min="47" max="61" width="14.25" style="2" customWidth="1"/>
    <col min="62" max="62" width="44.25" style="2" customWidth="1"/>
    <col min="63" max="63" width="14.25" style="2" customWidth="1"/>
    <col min="64" max="64" width="36.25" style="2" customWidth="1"/>
    <col min="65" max="66" width="14.25" style="2" customWidth="1"/>
    <col min="67" max="67" width="12" style="2" customWidth="1"/>
    <col min="68" max="69" width="10.875" style="2"/>
    <col min="70" max="70" width="13.75" style="2" customWidth="1"/>
    <col min="71" max="71" width="15" style="2" customWidth="1"/>
    <col min="72" max="16384" width="10.875" style="2"/>
  </cols>
  <sheetData>
    <row r="1" spans="1:71" s="5" customFormat="1" ht="122.1" customHeight="1" x14ac:dyDescent="0.25">
      <c r="A1" s="76" t="s">
        <v>267</v>
      </c>
      <c r="B1" s="76" t="s">
        <v>435</v>
      </c>
      <c r="C1" s="76" t="s">
        <v>268</v>
      </c>
      <c r="D1" s="76" t="s">
        <v>732</v>
      </c>
      <c r="E1" s="76" t="s">
        <v>269</v>
      </c>
      <c r="F1" s="76" t="s">
        <v>270</v>
      </c>
      <c r="G1" s="76" t="s">
        <v>271</v>
      </c>
      <c r="H1" s="76" t="s">
        <v>437</v>
      </c>
      <c r="I1" s="76" t="s">
        <v>438</v>
      </c>
      <c r="J1" s="76" t="s">
        <v>439</v>
      </c>
      <c r="K1" s="76" t="s">
        <v>440</v>
      </c>
      <c r="L1" s="76" t="s">
        <v>441</v>
      </c>
      <c r="M1" s="76" t="s">
        <v>733</v>
      </c>
      <c r="N1" s="76" t="s">
        <v>743</v>
      </c>
      <c r="O1" s="76" t="s">
        <v>1023</v>
      </c>
      <c r="P1" s="76" t="s">
        <v>1024</v>
      </c>
      <c r="Q1" s="76" t="s">
        <v>1025</v>
      </c>
      <c r="R1" s="76" t="s">
        <v>1026</v>
      </c>
      <c r="S1" s="76" t="s">
        <v>1027</v>
      </c>
      <c r="T1" s="76" t="s">
        <v>1028</v>
      </c>
      <c r="U1" s="76" t="s">
        <v>1029</v>
      </c>
      <c r="V1" s="76" t="s">
        <v>1030</v>
      </c>
      <c r="W1" s="77" t="s">
        <v>1031</v>
      </c>
      <c r="X1" s="77" t="s">
        <v>734</v>
      </c>
      <c r="Y1" s="77" t="s">
        <v>1032</v>
      </c>
      <c r="Z1" s="76" t="s">
        <v>735</v>
      </c>
      <c r="AA1" s="76" t="s">
        <v>1059</v>
      </c>
      <c r="AB1" s="76" t="s">
        <v>1060</v>
      </c>
      <c r="AC1" s="76" t="s">
        <v>1061</v>
      </c>
      <c r="AD1" s="78" t="s">
        <v>960</v>
      </c>
      <c r="AE1" s="76" t="s">
        <v>963</v>
      </c>
      <c r="AF1" s="76" t="s">
        <v>1103</v>
      </c>
      <c r="AG1" s="76" t="s">
        <v>1033</v>
      </c>
      <c r="AH1" s="76" t="s">
        <v>1034</v>
      </c>
      <c r="AI1" s="76" t="s">
        <v>1035</v>
      </c>
      <c r="AJ1" s="76" t="s">
        <v>1115</v>
      </c>
      <c r="AK1" s="76" t="s">
        <v>1036</v>
      </c>
      <c r="AL1" s="79" t="s">
        <v>1037</v>
      </c>
      <c r="AM1" s="76" t="s">
        <v>0</v>
      </c>
      <c r="AN1" s="76" t="s">
        <v>1</v>
      </c>
      <c r="AO1" s="76" t="s">
        <v>1038</v>
      </c>
      <c r="AP1" s="76" t="s">
        <v>1039</v>
      </c>
      <c r="AQ1" s="78" t="s">
        <v>1117</v>
      </c>
      <c r="AR1" s="76" t="s">
        <v>1022</v>
      </c>
      <c r="AS1" s="76" t="s">
        <v>442</v>
      </c>
      <c r="AT1" s="76" t="s">
        <v>460</v>
      </c>
      <c r="AU1" s="76" t="s">
        <v>461</v>
      </c>
      <c r="AV1" s="76" t="s">
        <v>462</v>
      </c>
      <c r="AW1" s="76" t="s">
        <v>463</v>
      </c>
      <c r="AX1" s="76" t="s">
        <v>464</v>
      </c>
      <c r="AY1" s="76" t="s">
        <v>465</v>
      </c>
      <c r="AZ1" s="76" t="s">
        <v>736</v>
      </c>
      <c r="BA1" s="76" t="s">
        <v>466</v>
      </c>
      <c r="BB1" s="76" t="s">
        <v>467</v>
      </c>
      <c r="BC1" s="76" t="s">
        <v>468</v>
      </c>
      <c r="BD1" s="76" t="s">
        <v>469</v>
      </c>
      <c r="BE1" s="76" t="s">
        <v>470</v>
      </c>
      <c r="BF1" s="76" t="s">
        <v>443</v>
      </c>
      <c r="BG1" s="76" t="s">
        <v>444</v>
      </c>
      <c r="BH1" s="76" t="s">
        <v>1040</v>
      </c>
      <c r="BI1" s="76" t="s">
        <v>1041</v>
      </c>
      <c r="BJ1" s="76" t="s">
        <v>1042</v>
      </c>
      <c r="BK1" s="76" t="s">
        <v>1043</v>
      </c>
      <c r="BL1" s="76" t="s">
        <v>445</v>
      </c>
      <c r="BM1" s="76" t="s">
        <v>788</v>
      </c>
      <c r="BN1" s="80" t="s">
        <v>1082</v>
      </c>
      <c r="BO1" s="80" t="s">
        <v>1019</v>
      </c>
      <c r="BP1" s="80" t="s">
        <v>1017</v>
      </c>
      <c r="BQ1" s="80" t="s">
        <v>995</v>
      </c>
      <c r="BR1" s="80" t="s">
        <v>1018</v>
      </c>
      <c r="BS1" s="80" t="s">
        <v>1009</v>
      </c>
    </row>
    <row r="2" spans="1:71" s="5" customFormat="1" ht="66.95" customHeight="1" x14ac:dyDescent="0.25">
      <c r="A2" s="75" t="s">
        <v>1014</v>
      </c>
      <c r="B2" s="75" t="s">
        <v>892</v>
      </c>
      <c r="C2" s="75" t="s">
        <v>622</v>
      </c>
      <c r="D2" s="75" t="s">
        <v>32</v>
      </c>
      <c r="E2" s="75" t="s">
        <v>92</v>
      </c>
      <c r="F2" s="75" t="s">
        <v>3</v>
      </c>
      <c r="G2" s="75" t="s">
        <v>623</v>
      </c>
      <c r="H2" s="70">
        <v>19.989999999999998</v>
      </c>
      <c r="I2" s="70">
        <f t="shared" ref="I2:I4" si="0">H2/G2</f>
        <v>0.66633333333333333</v>
      </c>
      <c r="J2" s="69" t="s">
        <v>7</v>
      </c>
      <c r="K2" s="69" t="s">
        <v>7</v>
      </c>
      <c r="L2" s="75" t="s">
        <v>2</v>
      </c>
      <c r="M2" s="75" t="s">
        <v>8</v>
      </c>
      <c r="N2" s="75" t="s">
        <v>2</v>
      </c>
      <c r="O2" s="75" t="s">
        <v>2</v>
      </c>
      <c r="P2" s="75" t="s">
        <v>2</v>
      </c>
      <c r="Q2" s="75" t="s">
        <v>2</v>
      </c>
      <c r="R2" s="75" t="s">
        <v>2</v>
      </c>
      <c r="S2" s="75" t="s">
        <v>2</v>
      </c>
      <c r="T2" s="75" t="s">
        <v>2</v>
      </c>
      <c r="U2" s="75" t="s">
        <v>2</v>
      </c>
      <c r="V2" s="75" t="s">
        <v>2</v>
      </c>
      <c r="W2" s="75" t="s">
        <v>2</v>
      </c>
      <c r="X2" s="75" t="s">
        <v>2</v>
      </c>
      <c r="Y2" s="75" t="s">
        <v>2</v>
      </c>
      <c r="Z2" s="75" t="s">
        <v>2</v>
      </c>
      <c r="AA2" s="75" t="s">
        <v>714</v>
      </c>
      <c r="AB2" s="75" t="s">
        <v>895</v>
      </c>
      <c r="AC2" s="75" t="s">
        <v>894</v>
      </c>
      <c r="AD2" s="72">
        <v>282</v>
      </c>
      <c r="AE2" s="75" t="s">
        <v>1077</v>
      </c>
      <c r="AF2" s="75" t="s">
        <v>46</v>
      </c>
      <c r="AG2" s="75" t="s">
        <v>46</v>
      </c>
      <c r="AH2" s="75" t="s">
        <v>46</v>
      </c>
      <c r="AI2" s="75" t="s">
        <v>46</v>
      </c>
      <c r="AJ2" s="72" t="str">
        <f>IF(Table13[[#This Row],[Indicative carbon footprint /inhaler (gCO2e) 7,8]]&gt;1796,"High","Low")</f>
        <v>Low</v>
      </c>
      <c r="AK2" s="72" t="s">
        <v>896</v>
      </c>
      <c r="AL2" s="72" t="s">
        <v>46</v>
      </c>
      <c r="AM2" s="70" t="s">
        <v>1077</v>
      </c>
      <c r="AN2" s="75" t="s">
        <v>2</v>
      </c>
      <c r="AO2" s="75" t="s">
        <v>2</v>
      </c>
      <c r="AP2" s="75" t="s">
        <v>2</v>
      </c>
      <c r="AQ2" s="75" t="s">
        <v>2</v>
      </c>
      <c r="AR2" s="74" t="s">
        <v>624</v>
      </c>
      <c r="AS2" s="75" t="s">
        <v>34</v>
      </c>
      <c r="AT2" s="69" t="s">
        <v>46</v>
      </c>
      <c r="AU2" s="69" t="s">
        <v>46</v>
      </c>
      <c r="AV2" s="69" t="s">
        <v>46</v>
      </c>
      <c r="AW2" s="69" t="s">
        <v>46</v>
      </c>
      <c r="AX2" s="69" t="s">
        <v>46</v>
      </c>
      <c r="AY2" s="69" t="s">
        <v>46</v>
      </c>
      <c r="AZ2" s="69" t="s">
        <v>46</v>
      </c>
      <c r="BA2" s="69" t="s">
        <v>46</v>
      </c>
      <c r="BB2" s="69" t="s">
        <v>46</v>
      </c>
      <c r="BC2" s="69" t="s">
        <v>46</v>
      </c>
      <c r="BD2" s="69" t="s">
        <v>46</v>
      </c>
      <c r="BE2" s="69" t="s">
        <v>46</v>
      </c>
      <c r="BF2" s="69" t="s">
        <v>2</v>
      </c>
      <c r="BG2" s="69" t="s">
        <v>2</v>
      </c>
      <c r="BH2" s="69" t="s">
        <v>2</v>
      </c>
      <c r="BI2" s="69" t="s">
        <v>2</v>
      </c>
      <c r="BJ2" s="69" t="s">
        <v>2</v>
      </c>
      <c r="BK2" s="69" t="s">
        <v>2</v>
      </c>
      <c r="BL2" s="69" t="s">
        <v>46</v>
      </c>
      <c r="BM2" s="75" t="s">
        <v>843</v>
      </c>
      <c r="BN2" s="75" t="s">
        <v>1068</v>
      </c>
      <c r="BO2" s="72" t="s">
        <v>996</v>
      </c>
      <c r="BP2" s="72">
        <v>282</v>
      </c>
      <c r="BQ2" s="75" t="s">
        <v>11</v>
      </c>
      <c r="BR2" s="72">
        <f>Table13[[#This Row],[Inhaler carbon footprint per inhaler in v2.37 (gCO2e) ]]-Table13[[#This Row],[Inhaler carbon footprint per inhaler in v2.36 (gCO2e) ]]</f>
        <v>-280.5</v>
      </c>
      <c r="BS2" s="72" t="s">
        <v>1010</v>
      </c>
    </row>
    <row r="3" spans="1:71" ht="58.5" customHeight="1" x14ac:dyDescent="0.25">
      <c r="A3" s="75" t="s">
        <v>1014</v>
      </c>
      <c r="B3" s="75" t="s">
        <v>892</v>
      </c>
      <c r="C3" s="75" t="s">
        <v>622</v>
      </c>
      <c r="D3" s="75" t="s">
        <v>32</v>
      </c>
      <c r="E3" s="75" t="s">
        <v>92</v>
      </c>
      <c r="F3" s="75" t="s">
        <v>3</v>
      </c>
      <c r="G3" s="75" t="s">
        <v>789</v>
      </c>
      <c r="H3" s="70">
        <v>39.979999999999997</v>
      </c>
      <c r="I3" s="70">
        <f t="shared" si="0"/>
        <v>0.66633333333333333</v>
      </c>
      <c r="J3" s="69" t="s">
        <v>7</v>
      </c>
      <c r="K3" s="69" t="s">
        <v>7</v>
      </c>
      <c r="L3" s="75" t="s">
        <v>2</v>
      </c>
      <c r="M3" s="75" t="s">
        <v>8</v>
      </c>
      <c r="N3" s="75" t="s">
        <v>2</v>
      </c>
      <c r="O3" s="75" t="s">
        <v>2</v>
      </c>
      <c r="P3" s="75" t="s">
        <v>2</v>
      </c>
      <c r="Q3" s="75" t="s">
        <v>2</v>
      </c>
      <c r="R3" s="75" t="s">
        <v>2</v>
      </c>
      <c r="S3" s="75" t="s">
        <v>2</v>
      </c>
      <c r="T3" s="75" t="s">
        <v>2</v>
      </c>
      <c r="U3" s="75" t="s">
        <v>2</v>
      </c>
      <c r="V3" s="75" t="s">
        <v>2</v>
      </c>
      <c r="W3" s="75" t="s">
        <v>2</v>
      </c>
      <c r="X3" s="75" t="s">
        <v>2</v>
      </c>
      <c r="Y3" s="75" t="s">
        <v>2</v>
      </c>
      <c r="Z3" s="75" t="s">
        <v>2</v>
      </c>
      <c r="AA3" s="75" t="s">
        <v>714</v>
      </c>
      <c r="AB3" s="75" t="s">
        <v>895</v>
      </c>
      <c r="AC3" s="75" t="s">
        <v>894</v>
      </c>
      <c r="AD3" s="72">
        <v>282</v>
      </c>
      <c r="AE3" s="75" t="s">
        <v>1077</v>
      </c>
      <c r="AF3" s="75" t="s">
        <v>46</v>
      </c>
      <c r="AG3" s="75" t="s">
        <v>46</v>
      </c>
      <c r="AH3" s="75" t="s">
        <v>46</v>
      </c>
      <c r="AI3" s="75" t="s">
        <v>46</v>
      </c>
      <c r="AJ3" s="72" t="str">
        <f>IF(Table13[[#This Row],[Indicative carbon footprint /inhaler (gCO2e) 7,8]]&gt;1796,"High","Low")</f>
        <v>Low</v>
      </c>
      <c r="AK3" s="72" t="s">
        <v>896</v>
      </c>
      <c r="AL3" s="72" t="s">
        <v>46</v>
      </c>
      <c r="AM3" s="70" t="s">
        <v>1077</v>
      </c>
      <c r="AN3" s="75" t="s">
        <v>2</v>
      </c>
      <c r="AO3" s="75" t="s">
        <v>2</v>
      </c>
      <c r="AP3" s="75" t="s">
        <v>2</v>
      </c>
      <c r="AQ3" s="75" t="s">
        <v>2</v>
      </c>
      <c r="AR3" s="74" t="s">
        <v>1062</v>
      </c>
      <c r="AS3" s="75" t="s">
        <v>34</v>
      </c>
      <c r="AT3" s="69" t="s">
        <v>46</v>
      </c>
      <c r="AU3" s="69" t="s">
        <v>46</v>
      </c>
      <c r="AV3" s="69" t="s">
        <v>46</v>
      </c>
      <c r="AW3" s="69" t="s">
        <v>46</v>
      </c>
      <c r="AX3" s="69" t="s">
        <v>46</v>
      </c>
      <c r="AY3" s="69" t="s">
        <v>46</v>
      </c>
      <c r="AZ3" s="69" t="s">
        <v>46</v>
      </c>
      <c r="BA3" s="69" t="s">
        <v>46</v>
      </c>
      <c r="BB3" s="69" t="s">
        <v>46</v>
      </c>
      <c r="BC3" s="69" t="s">
        <v>46</v>
      </c>
      <c r="BD3" s="69" t="s">
        <v>46</v>
      </c>
      <c r="BE3" s="69" t="s">
        <v>46</v>
      </c>
      <c r="BF3" s="69" t="s">
        <v>2</v>
      </c>
      <c r="BG3" s="69" t="s">
        <v>2</v>
      </c>
      <c r="BH3" s="69" t="s">
        <v>2</v>
      </c>
      <c r="BI3" s="69" t="s">
        <v>2</v>
      </c>
      <c r="BJ3" s="69" t="s">
        <v>2</v>
      </c>
      <c r="BK3" s="69" t="s">
        <v>2</v>
      </c>
      <c r="BL3" s="69" t="s">
        <v>46</v>
      </c>
      <c r="BM3" s="75" t="s">
        <v>843</v>
      </c>
      <c r="BN3" s="75" t="s">
        <v>1068</v>
      </c>
      <c r="BO3" s="72">
        <v>562.5</v>
      </c>
      <c r="BP3" s="72">
        <v>282</v>
      </c>
      <c r="BQ3" s="75" t="s">
        <v>11</v>
      </c>
      <c r="BR3" s="72">
        <f>Table13[[#This Row],[Inhaler carbon footprint per inhaler in v2.37 (gCO2e) ]]-Table13[[#This Row],[Inhaler carbon footprint per inhaler in v2.36 (gCO2e) ]]</f>
        <v>-280.5</v>
      </c>
      <c r="BS3" s="72" t="s">
        <v>1010</v>
      </c>
    </row>
    <row r="4" spans="1:71" ht="54.95" customHeight="1" x14ac:dyDescent="0.25">
      <c r="A4" s="69" t="s">
        <v>283</v>
      </c>
      <c r="B4" s="69" t="s">
        <v>4</v>
      </c>
      <c r="C4" s="69" t="s">
        <v>758</v>
      </c>
      <c r="D4" s="69" t="s">
        <v>5</v>
      </c>
      <c r="E4" s="69" t="s">
        <v>6</v>
      </c>
      <c r="F4" s="69" t="s">
        <v>3</v>
      </c>
      <c r="G4" s="69">
        <v>60</v>
      </c>
      <c r="H4" s="70">
        <v>29.97</v>
      </c>
      <c r="I4" s="70">
        <f t="shared" si="0"/>
        <v>0.4995</v>
      </c>
      <c r="J4" s="69" t="s">
        <v>7</v>
      </c>
      <c r="K4" s="69" t="s">
        <v>7</v>
      </c>
      <c r="L4" s="69" t="s">
        <v>8</v>
      </c>
      <c r="M4" s="69" t="s">
        <v>8</v>
      </c>
      <c r="N4" s="69" t="s">
        <v>2</v>
      </c>
      <c r="O4" s="69" t="s">
        <v>2</v>
      </c>
      <c r="P4" s="69" t="s">
        <v>2</v>
      </c>
      <c r="Q4" s="75" t="s">
        <v>2</v>
      </c>
      <c r="R4" s="69" t="s">
        <v>2</v>
      </c>
      <c r="S4" s="69" t="s">
        <v>2</v>
      </c>
      <c r="T4" s="69" t="s">
        <v>700</v>
      </c>
      <c r="U4" s="75" t="s">
        <v>2</v>
      </c>
      <c r="V4" s="75" t="s">
        <v>2</v>
      </c>
      <c r="W4" s="75" t="s">
        <v>2</v>
      </c>
      <c r="X4" s="75" t="s">
        <v>2</v>
      </c>
      <c r="Y4" s="75" t="s">
        <v>720</v>
      </c>
      <c r="Z4" s="69" t="s">
        <v>79</v>
      </c>
      <c r="AA4" s="75" t="s">
        <v>714</v>
      </c>
      <c r="AB4" s="75" t="s">
        <v>714</v>
      </c>
      <c r="AC4" s="75" t="s">
        <v>848</v>
      </c>
      <c r="AD4" s="72">
        <v>898</v>
      </c>
      <c r="AE4" s="75" t="s">
        <v>1075</v>
      </c>
      <c r="AF4" s="75" t="s">
        <v>46</v>
      </c>
      <c r="AG4" s="75" t="s">
        <v>46</v>
      </c>
      <c r="AH4" s="75" t="s">
        <v>46</v>
      </c>
      <c r="AI4" s="75" t="s">
        <v>46</v>
      </c>
      <c r="AJ4" s="72" t="str">
        <f>IF(Table13[[#This Row],[Indicative carbon footprint /inhaler (gCO2e) 7,8]]&gt;1796,"High","Low")</f>
        <v>Low</v>
      </c>
      <c r="AK4" s="72" t="s">
        <v>46</v>
      </c>
      <c r="AL4" s="72" t="s">
        <v>46</v>
      </c>
      <c r="AM4" s="72" t="s">
        <v>1075</v>
      </c>
      <c r="AN4" s="82" t="s">
        <v>2</v>
      </c>
      <c r="AO4" s="82" t="s">
        <v>2</v>
      </c>
      <c r="AP4" s="82" t="s">
        <v>2</v>
      </c>
      <c r="AQ4" s="82" t="s">
        <v>2</v>
      </c>
      <c r="AR4" s="74" t="s">
        <v>10</v>
      </c>
      <c r="AS4" s="69" t="s">
        <v>34</v>
      </c>
      <c r="AT4" s="69" t="s">
        <v>46</v>
      </c>
      <c r="AU4" s="69" t="s">
        <v>46</v>
      </c>
      <c r="AV4" s="69" t="s">
        <v>46</v>
      </c>
      <c r="AW4" s="69" t="s">
        <v>46</v>
      </c>
      <c r="AX4" s="69" t="s">
        <v>46</v>
      </c>
      <c r="AY4" s="69" t="s">
        <v>46</v>
      </c>
      <c r="AZ4" s="69" t="s">
        <v>46</v>
      </c>
      <c r="BA4" s="69" t="s">
        <v>46</v>
      </c>
      <c r="BB4" s="69" t="s">
        <v>46</v>
      </c>
      <c r="BC4" s="69" t="s">
        <v>46</v>
      </c>
      <c r="BD4" s="69" t="s">
        <v>46</v>
      </c>
      <c r="BE4" s="69" t="s">
        <v>46</v>
      </c>
      <c r="BF4" s="69" t="s">
        <v>2</v>
      </c>
      <c r="BG4" s="69" t="s">
        <v>2</v>
      </c>
      <c r="BH4" s="69" t="s">
        <v>2</v>
      </c>
      <c r="BI4" s="69" t="s">
        <v>2</v>
      </c>
      <c r="BJ4" s="69" t="s">
        <v>2</v>
      </c>
      <c r="BK4" s="69" t="s">
        <v>2</v>
      </c>
      <c r="BL4" s="69" t="s">
        <v>46</v>
      </c>
      <c r="BM4" s="75" t="s">
        <v>11</v>
      </c>
      <c r="BN4" s="75" t="s">
        <v>1068</v>
      </c>
      <c r="BO4" s="72" t="s">
        <v>997</v>
      </c>
      <c r="BP4" s="72">
        <v>898</v>
      </c>
      <c r="BQ4" s="75" t="s">
        <v>11</v>
      </c>
      <c r="BR4" s="72">
        <f>Table13[[#This Row],[Inhaler carbon footprint per inhaler in v2.37 (gCO2e) ]]-Table13[[#This Row],[Inhaler carbon footprint per inhaler in v2.36 (gCO2e) ]]</f>
        <v>311</v>
      </c>
      <c r="BS4" s="72">
        <f>Table13[[#This Row],[Inhaler carbon footprint per inhaler in v2.37 (gCO2e) ]]-Table13[[#This Row],[Inhaler carbon footprint per inhaler in v2.36 (gCO2e) ]]</f>
        <v>311</v>
      </c>
    </row>
    <row r="5" spans="1:71" ht="48.95" customHeight="1" x14ac:dyDescent="0.25">
      <c r="A5" s="69" t="s">
        <v>284</v>
      </c>
      <c r="B5" s="69" t="s">
        <v>4</v>
      </c>
      <c r="C5" s="69" t="s">
        <v>749</v>
      </c>
      <c r="D5" s="69" t="s">
        <v>12</v>
      </c>
      <c r="E5" s="69" t="s">
        <v>6</v>
      </c>
      <c r="F5" s="69" t="s">
        <v>13</v>
      </c>
      <c r="G5" s="69">
        <v>120</v>
      </c>
      <c r="H5" s="70">
        <v>16.420000000000002</v>
      </c>
      <c r="I5" s="70">
        <f t="shared" ref="I5:I24" si="1">H5/G5</f>
        <v>0.13683333333333333</v>
      </c>
      <c r="J5" s="69" t="s">
        <v>7</v>
      </c>
      <c r="K5" s="69" t="s">
        <v>7</v>
      </c>
      <c r="L5" s="69" t="s">
        <v>8</v>
      </c>
      <c r="M5" s="69" t="s">
        <v>8</v>
      </c>
      <c r="N5" s="69" t="s">
        <v>2</v>
      </c>
      <c r="O5" s="69" t="s">
        <v>2</v>
      </c>
      <c r="P5" s="69" t="s">
        <v>2</v>
      </c>
      <c r="Q5" s="75" t="s">
        <v>2</v>
      </c>
      <c r="R5" s="69" t="s">
        <v>2</v>
      </c>
      <c r="S5" s="69" t="s">
        <v>699</v>
      </c>
      <c r="T5" s="69" t="s">
        <v>2</v>
      </c>
      <c r="U5" s="75" t="s">
        <v>2</v>
      </c>
      <c r="V5" s="75" t="s">
        <v>2</v>
      </c>
      <c r="W5" s="75" t="s">
        <v>2</v>
      </c>
      <c r="X5" s="75" t="s">
        <v>2</v>
      </c>
      <c r="Y5" s="75" t="s">
        <v>720</v>
      </c>
      <c r="Z5" s="69" t="s">
        <v>79</v>
      </c>
      <c r="AA5" s="75" t="s">
        <v>714</v>
      </c>
      <c r="AB5" s="75" t="s">
        <v>714</v>
      </c>
      <c r="AC5" s="75" t="s">
        <v>907</v>
      </c>
      <c r="AD5" s="72">
        <f>Table13[[#This Row],[Carbon footprint per inhaler attributed to propellant PrescQIPP calculated as gCO2e (from PIL or as assigned in the methodology)11-13]]</f>
        <v>17875</v>
      </c>
      <c r="AE5" s="75" t="s">
        <v>530</v>
      </c>
      <c r="AF5" s="75" t="s">
        <v>46</v>
      </c>
      <c r="AG5" s="75" t="s">
        <v>46</v>
      </c>
      <c r="AH5" s="75" t="s">
        <v>46</v>
      </c>
      <c r="AI5" s="75" t="s">
        <v>46</v>
      </c>
      <c r="AJ5" s="72" t="str">
        <f>IF(Table13[[#This Row],[Indicative carbon footprint /inhaler (gCO2e) 7,8]]&gt;1796,"High","Low")</f>
        <v>High</v>
      </c>
      <c r="AK5" s="72" t="s">
        <v>46</v>
      </c>
      <c r="AL5" s="72" t="s">
        <v>46</v>
      </c>
      <c r="AM5" s="70" t="s">
        <v>1080</v>
      </c>
      <c r="AN5" s="82" t="s">
        <v>177</v>
      </c>
      <c r="AO5" s="92">
        <v>12.5</v>
      </c>
      <c r="AP5" s="82">
        <v>1.7899999999999999E-2</v>
      </c>
      <c r="AQ5" s="91">
        <f>1430*Table13[[#This Row],[Amount of propellant per inhaler (from PIL) (g)12-13]]</f>
        <v>17875</v>
      </c>
      <c r="AR5" s="74" t="s">
        <v>14</v>
      </c>
      <c r="AS5" s="69" t="s">
        <v>34</v>
      </c>
      <c r="AT5" s="69" t="s">
        <v>1080</v>
      </c>
      <c r="AU5" s="69" t="s">
        <v>46</v>
      </c>
      <c r="AV5" s="69" t="s">
        <v>46</v>
      </c>
      <c r="AW5" s="69" t="s">
        <v>46</v>
      </c>
      <c r="AX5" s="69" t="s">
        <v>46</v>
      </c>
      <c r="AY5" s="69" t="s">
        <v>46</v>
      </c>
      <c r="AZ5" s="69" t="s">
        <v>46</v>
      </c>
      <c r="BA5" s="69" t="s">
        <v>46</v>
      </c>
      <c r="BB5" s="69" t="s">
        <v>46</v>
      </c>
      <c r="BC5" s="69" t="s">
        <v>46</v>
      </c>
      <c r="BD5" s="69" t="s">
        <v>46</v>
      </c>
      <c r="BE5" s="69" t="s">
        <v>46</v>
      </c>
      <c r="BF5" s="69" t="s">
        <v>46</v>
      </c>
      <c r="BG5" s="69" t="s">
        <v>46</v>
      </c>
      <c r="BH5" s="69" t="s">
        <v>46</v>
      </c>
      <c r="BI5" s="69" t="s">
        <v>46</v>
      </c>
      <c r="BJ5" s="69" t="s">
        <v>46</v>
      </c>
      <c r="BK5" s="69" t="s">
        <v>46</v>
      </c>
      <c r="BL5" s="69" t="s">
        <v>46</v>
      </c>
      <c r="BM5" s="75" t="s">
        <v>11</v>
      </c>
      <c r="BN5" s="75" t="s">
        <v>878</v>
      </c>
      <c r="BO5" s="72" t="s">
        <v>998</v>
      </c>
      <c r="BP5" s="72">
        <v>17875</v>
      </c>
      <c r="BQ5" s="75" t="s">
        <v>11</v>
      </c>
      <c r="BR5" s="72">
        <f>Table13[[#This Row],[Inhaler carbon footprint per inhaler in v2.37 (gCO2e) ]]-Table13[[#This Row],[Inhaler carbon footprint per inhaler in v2.36 (gCO2e) ]]</f>
        <v>-1410</v>
      </c>
      <c r="BS5" s="72">
        <f>Table13[[#This Row],[Inhaler carbon footprint per inhaler in v2.37 (gCO2e) ]]-Table13[[#This Row],[Inhaler carbon footprint per inhaler in v2.36 (gCO2e) ]]</f>
        <v>-1410</v>
      </c>
    </row>
    <row r="6" spans="1:71" ht="60.95" customHeight="1" x14ac:dyDescent="0.25">
      <c r="A6" s="69" t="s">
        <v>285</v>
      </c>
      <c r="B6" s="69" t="s">
        <v>4</v>
      </c>
      <c r="C6" s="69" t="s">
        <v>750</v>
      </c>
      <c r="D6" s="69" t="s">
        <v>12</v>
      </c>
      <c r="E6" s="69" t="s">
        <v>6</v>
      </c>
      <c r="F6" s="69" t="s">
        <v>13</v>
      </c>
      <c r="G6" s="69">
        <v>120</v>
      </c>
      <c r="H6" s="70">
        <v>20.52</v>
      </c>
      <c r="I6" s="70">
        <f t="shared" si="1"/>
        <v>0.17099999999999999</v>
      </c>
      <c r="J6" s="69" t="s">
        <v>7</v>
      </c>
      <c r="K6" s="69" t="s">
        <v>7</v>
      </c>
      <c r="L6" s="69" t="s">
        <v>8</v>
      </c>
      <c r="M6" s="69" t="s">
        <v>8</v>
      </c>
      <c r="N6" s="69" t="s">
        <v>2</v>
      </c>
      <c r="O6" s="69" t="s">
        <v>2</v>
      </c>
      <c r="P6" s="69" t="s">
        <v>2</v>
      </c>
      <c r="Q6" s="75" t="s">
        <v>2</v>
      </c>
      <c r="R6" s="69" t="s">
        <v>2</v>
      </c>
      <c r="S6" s="69" t="s">
        <v>2</v>
      </c>
      <c r="T6" s="69" t="s">
        <v>699</v>
      </c>
      <c r="U6" s="75" t="s">
        <v>2</v>
      </c>
      <c r="V6" s="75" t="s">
        <v>2</v>
      </c>
      <c r="W6" s="75" t="s">
        <v>2</v>
      </c>
      <c r="X6" s="75" t="s">
        <v>2</v>
      </c>
      <c r="Y6" s="75" t="s">
        <v>720</v>
      </c>
      <c r="Z6" s="69" t="s">
        <v>79</v>
      </c>
      <c r="AA6" s="75" t="s">
        <v>714</v>
      </c>
      <c r="AB6" s="75" t="s">
        <v>714</v>
      </c>
      <c r="AC6" s="75" t="s">
        <v>907</v>
      </c>
      <c r="AD6" s="72">
        <f>Table13[[#This Row],[Carbon footprint per inhaler attributed to propellant PrescQIPP calculated as gCO2e (from PIL or as assigned in the methodology)11-13]]</f>
        <v>17875</v>
      </c>
      <c r="AE6" s="75" t="s">
        <v>530</v>
      </c>
      <c r="AF6" s="75" t="s">
        <v>46</v>
      </c>
      <c r="AG6" s="75" t="s">
        <v>46</v>
      </c>
      <c r="AH6" s="75" t="s">
        <v>46</v>
      </c>
      <c r="AI6" s="75" t="s">
        <v>46</v>
      </c>
      <c r="AJ6" s="72" t="str">
        <f>IF(Table13[[#This Row],[Indicative carbon footprint /inhaler (gCO2e) 7,8]]&gt;1796,"High","Low")</f>
        <v>High</v>
      </c>
      <c r="AK6" s="72" t="s">
        <v>46</v>
      </c>
      <c r="AL6" s="72" t="s">
        <v>46</v>
      </c>
      <c r="AM6" s="70" t="s">
        <v>1080</v>
      </c>
      <c r="AN6" s="82" t="s">
        <v>177</v>
      </c>
      <c r="AO6" s="92">
        <v>12.5</v>
      </c>
      <c r="AP6" s="82">
        <v>1.7899999999999999E-2</v>
      </c>
      <c r="AQ6" s="91">
        <f>1430*Table13[[#This Row],[Amount of propellant per inhaler (from PIL) (g)12-13]]</f>
        <v>17875</v>
      </c>
      <c r="AR6" s="74" t="s">
        <v>15</v>
      </c>
      <c r="AS6" s="69" t="s">
        <v>34</v>
      </c>
      <c r="AT6" s="69" t="s">
        <v>1080</v>
      </c>
      <c r="AU6" s="69" t="s">
        <v>46</v>
      </c>
      <c r="AV6" s="69" t="s">
        <v>46</v>
      </c>
      <c r="AW6" s="69" t="s">
        <v>46</v>
      </c>
      <c r="AX6" s="69" t="s">
        <v>46</v>
      </c>
      <c r="AY6" s="69" t="s">
        <v>46</v>
      </c>
      <c r="AZ6" s="69" t="s">
        <v>46</v>
      </c>
      <c r="BA6" s="69" t="s">
        <v>46</v>
      </c>
      <c r="BB6" s="69" t="s">
        <v>46</v>
      </c>
      <c r="BC6" s="69" t="s">
        <v>46</v>
      </c>
      <c r="BD6" s="69" t="s">
        <v>46</v>
      </c>
      <c r="BE6" s="69" t="s">
        <v>46</v>
      </c>
      <c r="BF6" s="69" t="s">
        <v>46</v>
      </c>
      <c r="BG6" s="69" t="s">
        <v>46</v>
      </c>
      <c r="BH6" s="69" t="s">
        <v>46</v>
      </c>
      <c r="BI6" s="69" t="s">
        <v>46</v>
      </c>
      <c r="BJ6" s="69" t="s">
        <v>46</v>
      </c>
      <c r="BK6" s="69" t="s">
        <v>46</v>
      </c>
      <c r="BL6" s="69" t="s">
        <v>46</v>
      </c>
      <c r="BM6" s="75" t="s">
        <v>11</v>
      </c>
      <c r="BN6" s="75" t="s">
        <v>878</v>
      </c>
      <c r="BO6" s="72" t="s">
        <v>998</v>
      </c>
      <c r="BP6" s="72">
        <v>17875</v>
      </c>
      <c r="BQ6" s="75" t="s">
        <v>11</v>
      </c>
      <c r="BR6" s="72">
        <f>Table13[[#This Row],[Inhaler carbon footprint per inhaler in v2.37 (gCO2e) ]]-Table13[[#This Row],[Inhaler carbon footprint per inhaler in v2.36 (gCO2e) ]]</f>
        <v>-1410</v>
      </c>
      <c r="BS6" s="72">
        <f>Table13[[#This Row],[Inhaler carbon footprint per inhaler in v2.37 (gCO2e) ]]-Table13[[#This Row],[Inhaler carbon footprint per inhaler in v2.36 (gCO2e) ]]</f>
        <v>-1410</v>
      </c>
    </row>
    <row r="7" spans="1:71" ht="53.45" customHeight="1" x14ac:dyDescent="0.25">
      <c r="A7" s="69" t="s">
        <v>1100</v>
      </c>
      <c r="B7" s="69" t="s">
        <v>16</v>
      </c>
      <c r="C7" s="69" t="s">
        <v>286</v>
      </c>
      <c r="D7" s="69" t="s">
        <v>17</v>
      </c>
      <c r="E7" s="69" t="s">
        <v>18</v>
      </c>
      <c r="F7" s="69" t="s">
        <v>13</v>
      </c>
      <c r="G7" s="69">
        <v>200</v>
      </c>
      <c r="H7" s="70">
        <v>1.97</v>
      </c>
      <c r="I7" s="70">
        <f t="shared" si="1"/>
        <v>9.8499999999999994E-3</v>
      </c>
      <c r="J7" s="69" t="s">
        <v>19</v>
      </c>
      <c r="K7" s="69" t="s">
        <v>20</v>
      </c>
      <c r="L7" s="69" t="s">
        <v>2</v>
      </c>
      <c r="M7" s="75" t="s">
        <v>8</v>
      </c>
      <c r="N7" s="75" t="s">
        <v>2</v>
      </c>
      <c r="O7" s="75" t="s">
        <v>2</v>
      </c>
      <c r="P7" s="75" t="s">
        <v>2</v>
      </c>
      <c r="Q7" s="75" t="s">
        <v>2</v>
      </c>
      <c r="R7" s="75" t="s">
        <v>2</v>
      </c>
      <c r="S7" s="75" t="s">
        <v>2</v>
      </c>
      <c r="T7" s="75" t="s">
        <v>2</v>
      </c>
      <c r="U7" s="75" t="s">
        <v>2</v>
      </c>
      <c r="V7" s="75" t="s">
        <v>2</v>
      </c>
      <c r="W7" s="75" t="s">
        <v>2</v>
      </c>
      <c r="X7" s="75" t="s">
        <v>2</v>
      </c>
      <c r="Y7" s="75" t="s">
        <v>2</v>
      </c>
      <c r="Z7" s="69" t="s">
        <v>8</v>
      </c>
      <c r="AA7" s="69" t="s">
        <v>714</v>
      </c>
      <c r="AB7" s="69" t="s">
        <v>714</v>
      </c>
      <c r="AC7" s="81" t="s">
        <v>873</v>
      </c>
      <c r="AD7" s="72">
        <f>Table13[[#This Row],[Carbon footprint per inhaler attributed to propellant PrescQIPP calculated as gCO2e (from PIL or as assigned in the methodology)11-13]]</f>
        <v>10353.200000000001</v>
      </c>
      <c r="AE7" s="75" t="s">
        <v>530</v>
      </c>
      <c r="AF7" s="75" t="s">
        <v>46</v>
      </c>
      <c r="AG7" s="75" t="s">
        <v>46</v>
      </c>
      <c r="AH7" s="75" t="s">
        <v>46</v>
      </c>
      <c r="AI7" s="75" t="s">
        <v>46</v>
      </c>
      <c r="AJ7" s="72" t="str">
        <f>IF(Table13[[#This Row],[Indicative carbon footprint /inhaler (gCO2e) 7,8]]&gt;1796,"High","Low")</f>
        <v>High</v>
      </c>
      <c r="AK7" s="72" t="s">
        <v>46</v>
      </c>
      <c r="AL7" s="72" t="s">
        <v>46</v>
      </c>
      <c r="AM7" s="73" t="s">
        <v>1099</v>
      </c>
      <c r="AN7" s="82" t="s">
        <v>177</v>
      </c>
      <c r="AO7" s="83">
        <v>7.24</v>
      </c>
      <c r="AP7" s="84">
        <v>1.035E-2</v>
      </c>
      <c r="AQ7" s="85">
        <v>10353.200000000001</v>
      </c>
      <c r="AR7" s="74" t="s">
        <v>1098</v>
      </c>
      <c r="AS7" s="69" t="s">
        <v>34</v>
      </c>
      <c r="AT7" s="86" t="s">
        <v>46</v>
      </c>
      <c r="AU7" s="69" t="s">
        <v>46</v>
      </c>
      <c r="AV7" s="69" t="s">
        <v>46</v>
      </c>
      <c r="AW7" s="69" t="s">
        <v>46</v>
      </c>
      <c r="AX7" s="69" t="s">
        <v>46</v>
      </c>
      <c r="AY7" s="69" t="s">
        <v>46</v>
      </c>
      <c r="AZ7" s="69" t="s">
        <v>46</v>
      </c>
      <c r="BA7" s="69" t="s">
        <v>46</v>
      </c>
      <c r="BB7" s="69" t="s">
        <v>46</v>
      </c>
      <c r="BC7" s="69" t="s">
        <v>46</v>
      </c>
      <c r="BD7" s="69" t="s">
        <v>46</v>
      </c>
      <c r="BE7" s="69" t="s">
        <v>46</v>
      </c>
      <c r="BF7" s="69" t="s">
        <v>46</v>
      </c>
      <c r="BG7" s="69" t="s">
        <v>46</v>
      </c>
      <c r="BH7" s="69" t="s">
        <v>46</v>
      </c>
      <c r="BI7" s="69" t="s">
        <v>46</v>
      </c>
      <c r="BJ7" s="69" t="s">
        <v>46</v>
      </c>
      <c r="BK7" s="69" t="s">
        <v>46</v>
      </c>
      <c r="BL7" s="69" t="s">
        <v>1099</v>
      </c>
      <c r="BM7" s="75" t="s">
        <v>843</v>
      </c>
      <c r="BN7" s="75" t="s">
        <v>877</v>
      </c>
      <c r="BO7" s="72">
        <v>9720</v>
      </c>
      <c r="BP7" s="72">
        <v>10353.200000000001</v>
      </c>
      <c r="BQ7" s="75" t="s">
        <v>11</v>
      </c>
      <c r="BR7" s="72">
        <f>Table13[[#This Row],[Inhaler carbon footprint per inhaler in v2.37 (gCO2e) ]]-Table13[[#This Row],[Inhaler carbon footprint per inhaler in v2.36 (gCO2e) ]]</f>
        <v>633.20000000000073</v>
      </c>
      <c r="BS7" s="72">
        <f>Table13[[#This Row],[Inhaler carbon footprint per inhaler in v2.37 (gCO2e) ]]-Table13[[#This Row],[Inhaler carbon footprint per inhaler in v2.36 (gCO2e) ]]</f>
        <v>633.20000000000073</v>
      </c>
    </row>
    <row r="8" spans="1:71" ht="45.95" customHeight="1" x14ac:dyDescent="0.25">
      <c r="A8" s="69" t="s">
        <v>287</v>
      </c>
      <c r="B8" s="69" t="s">
        <v>16</v>
      </c>
      <c r="C8" s="69" t="s">
        <v>286</v>
      </c>
      <c r="D8" s="69" t="s">
        <v>17</v>
      </c>
      <c r="E8" s="69" t="s">
        <v>18</v>
      </c>
      <c r="F8" s="69" t="s">
        <v>127</v>
      </c>
      <c r="G8" s="69">
        <v>200</v>
      </c>
      <c r="H8" s="70">
        <v>6.02</v>
      </c>
      <c r="I8" s="70">
        <f t="shared" si="1"/>
        <v>3.0099999999999998E-2</v>
      </c>
      <c r="J8" s="69" t="s">
        <v>19</v>
      </c>
      <c r="K8" s="69" t="s">
        <v>20</v>
      </c>
      <c r="L8" s="69" t="s">
        <v>2</v>
      </c>
      <c r="M8" s="75" t="s">
        <v>8</v>
      </c>
      <c r="N8" s="75" t="s">
        <v>2</v>
      </c>
      <c r="O8" s="75" t="s">
        <v>2</v>
      </c>
      <c r="P8" s="75" t="s">
        <v>2</v>
      </c>
      <c r="Q8" s="75" t="s">
        <v>2</v>
      </c>
      <c r="R8" s="75" t="s">
        <v>2</v>
      </c>
      <c r="S8" s="75" t="s">
        <v>2</v>
      </c>
      <c r="T8" s="75" t="s">
        <v>2</v>
      </c>
      <c r="U8" s="75" t="s">
        <v>2</v>
      </c>
      <c r="V8" s="75" t="s">
        <v>2</v>
      </c>
      <c r="W8" s="75" t="s">
        <v>2</v>
      </c>
      <c r="X8" s="75" t="s">
        <v>2</v>
      </c>
      <c r="Y8" s="75" t="s">
        <v>2</v>
      </c>
      <c r="Z8" s="69" t="s">
        <v>8</v>
      </c>
      <c r="AA8" s="69" t="s">
        <v>714</v>
      </c>
      <c r="AB8" s="69" t="s">
        <v>714</v>
      </c>
      <c r="AC8" s="81" t="s">
        <v>873</v>
      </c>
      <c r="AD8" s="72">
        <f>Table13[[#This Row],[Carbon footprint per inhaler attributed to propellant PrescQIPP calculated as gCO2e (from PIL or as assigned in the methodology)11-13]]</f>
        <v>10353.200000000001</v>
      </c>
      <c r="AE8" s="75" t="s">
        <v>530</v>
      </c>
      <c r="AF8" s="75" t="s">
        <v>46</v>
      </c>
      <c r="AG8" s="75" t="s">
        <v>809</v>
      </c>
      <c r="AH8" s="75" t="s">
        <v>34</v>
      </c>
      <c r="AI8" s="75" t="s">
        <v>809</v>
      </c>
      <c r="AJ8" s="72" t="str">
        <f>IF(Table13[[#This Row],[Indicative carbon footprint /inhaler (gCO2e) 7,8]]&gt;1796,"High","Low")</f>
        <v>High</v>
      </c>
      <c r="AK8" s="72" t="s">
        <v>46</v>
      </c>
      <c r="AL8" s="72" t="s">
        <v>46</v>
      </c>
      <c r="AM8" s="70"/>
      <c r="AN8" s="82" t="s">
        <v>177</v>
      </c>
      <c r="AO8" s="83">
        <v>7.24</v>
      </c>
      <c r="AP8" s="84">
        <v>1.035E-2</v>
      </c>
      <c r="AQ8" s="85">
        <v>10353.200000000001</v>
      </c>
      <c r="AR8" s="74" t="s">
        <v>21</v>
      </c>
      <c r="AS8" s="69" t="s">
        <v>34</v>
      </c>
      <c r="AT8" s="86" t="s">
        <v>46</v>
      </c>
      <c r="AU8" s="69" t="s">
        <v>46</v>
      </c>
      <c r="AV8" s="69" t="s">
        <v>46</v>
      </c>
      <c r="AW8" s="69" t="s">
        <v>46</v>
      </c>
      <c r="AX8" s="69" t="s">
        <v>46</v>
      </c>
      <c r="AY8" s="69" t="s">
        <v>46</v>
      </c>
      <c r="AZ8" s="69" t="s">
        <v>46</v>
      </c>
      <c r="BA8" s="69" t="s">
        <v>46</v>
      </c>
      <c r="BB8" s="69" t="s">
        <v>46</v>
      </c>
      <c r="BC8" s="69" t="s">
        <v>46</v>
      </c>
      <c r="BD8" s="69" t="s">
        <v>46</v>
      </c>
      <c r="BE8" s="69" t="s">
        <v>46</v>
      </c>
      <c r="BF8" s="69" t="s">
        <v>46</v>
      </c>
      <c r="BG8" s="69" t="s">
        <v>46</v>
      </c>
      <c r="BH8" s="69" t="s">
        <v>46</v>
      </c>
      <c r="BI8" s="69" t="s">
        <v>46</v>
      </c>
      <c r="BJ8" s="69" t="s">
        <v>46</v>
      </c>
      <c r="BK8" s="69" t="s">
        <v>46</v>
      </c>
      <c r="BL8" s="69" t="s">
        <v>46</v>
      </c>
      <c r="BM8" s="75" t="s">
        <v>11</v>
      </c>
      <c r="BN8" s="75" t="s">
        <v>877</v>
      </c>
      <c r="BO8" s="72">
        <v>9720</v>
      </c>
      <c r="BP8" s="72">
        <v>10353.200000000001</v>
      </c>
      <c r="BQ8" s="75" t="s">
        <v>11</v>
      </c>
      <c r="BR8" s="72">
        <f>Table13[[#This Row],[Inhaler carbon footprint per inhaler in v2.37 (gCO2e) ]]-Table13[[#This Row],[Inhaler carbon footprint per inhaler in v2.36 (gCO2e) ]]</f>
        <v>633.20000000000073</v>
      </c>
      <c r="BS8" s="72">
        <f>Table13[[#This Row],[Inhaler carbon footprint per inhaler in v2.37 (gCO2e) ]]-Table13[[#This Row],[Inhaler carbon footprint per inhaler in v2.36 (gCO2e) ]]</f>
        <v>633.20000000000073</v>
      </c>
    </row>
    <row r="9" spans="1:71" ht="56.45" customHeight="1" x14ac:dyDescent="0.25">
      <c r="A9" s="69" t="s">
        <v>288</v>
      </c>
      <c r="B9" s="69" t="s">
        <v>880</v>
      </c>
      <c r="C9" s="69" t="s">
        <v>749</v>
      </c>
      <c r="D9" s="69" t="s">
        <v>12</v>
      </c>
      <c r="E9" s="69" t="s">
        <v>6</v>
      </c>
      <c r="F9" s="69" t="s">
        <v>13</v>
      </c>
      <c r="G9" s="69">
        <v>120</v>
      </c>
      <c r="H9" s="70">
        <v>22.45</v>
      </c>
      <c r="I9" s="70">
        <f t="shared" si="1"/>
        <v>0.18708333333333332</v>
      </c>
      <c r="J9" s="69" t="s">
        <v>7</v>
      </c>
      <c r="K9" s="69" t="s">
        <v>7</v>
      </c>
      <c r="L9" s="69" t="s">
        <v>8</v>
      </c>
      <c r="M9" s="69" t="s">
        <v>8</v>
      </c>
      <c r="N9" s="69" t="s">
        <v>2</v>
      </c>
      <c r="O9" s="69" t="s">
        <v>2</v>
      </c>
      <c r="P9" s="69" t="s">
        <v>2</v>
      </c>
      <c r="Q9" s="75" t="s">
        <v>2</v>
      </c>
      <c r="R9" s="69" t="s">
        <v>2</v>
      </c>
      <c r="S9" s="69" t="s">
        <v>699</v>
      </c>
      <c r="T9" s="69" t="s">
        <v>2</v>
      </c>
      <c r="U9" s="75" t="s">
        <v>2</v>
      </c>
      <c r="V9" s="75" t="s">
        <v>2</v>
      </c>
      <c r="W9" s="75" t="s">
        <v>2</v>
      </c>
      <c r="X9" s="75" t="s">
        <v>2</v>
      </c>
      <c r="Y9" s="75" t="s">
        <v>720</v>
      </c>
      <c r="Z9" s="69" t="s">
        <v>79</v>
      </c>
      <c r="AA9" s="69" t="s">
        <v>731</v>
      </c>
      <c r="AB9" s="69" t="s">
        <v>731</v>
      </c>
      <c r="AC9" s="69" t="s">
        <v>881</v>
      </c>
      <c r="AD9" s="72">
        <f>Table13[[#This Row],[Carbon footprint per inhaler attributed to propellant PrescQIPP calculated as gCO2e (from PIL or as assigned in the methodology)11-13]]</f>
        <v>17516.07</v>
      </c>
      <c r="AE9" s="75" t="s">
        <v>530</v>
      </c>
      <c r="AF9" s="75" t="s">
        <v>34</v>
      </c>
      <c r="AG9" s="75" t="s">
        <v>809</v>
      </c>
      <c r="AH9" s="75" t="s">
        <v>34</v>
      </c>
      <c r="AI9" s="75" t="s">
        <v>2</v>
      </c>
      <c r="AJ9" s="72" t="str">
        <f>IF(Table13[[#This Row],[Indicative carbon footprint /inhaler (gCO2e) 7,8]]&gt;1796,"High","Low")</f>
        <v>High</v>
      </c>
      <c r="AK9" s="72" t="s">
        <v>46</v>
      </c>
      <c r="AL9" s="72" t="s">
        <v>46</v>
      </c>
      <c r="AM9" s="70"/>
      <c r="AN9" s="82" t="s">
        <v>177</v>
      </c>
      <c r="AO9" s="90">
        <v>12.249000000000001</v>
      </c>
      <c r="AP9" s="82">
        <v>1.7999999999999999E-2</v>
      </c>
      <c r="AQ9" s="91">
        <f>1430*Table13[[#This Row],[Amount of propellant per inhaler (from PIL) (g)12-13]]</f>
        <v>17516.07</v>
      </c>
      <c r="AR9" s="74" t="s">
        <v>22</v>
      </c>
      <c r="AS9" s="69" t="s">
        <v>34</v>
      </c>
      <c r="AT9" s="86" t="s">
        <v>46</v>
      </c>
      <c r="AU9" s="69" t="s">
        <v>46</v>
      </c>
      <c r="AV9" s="69" t="s">
        <v>46</v>
      </c>
      <c r="AW9" s="69" t="s">
        <v>46</v>
      </c>
      <c r="AX9" s="69" t="s">
        <v>46</v>
      </c>
      <c r="AY9" s="69" t="s">
        <v>46</v>
      </c>
      <c r="AZ9" s="69" t="s">
        <v>46</v>
      </c>
      <c r="BA9" s="69" t="s">
        <v>46</v>
      </c>
      <c r="BB9" s="69" t="s">
        <v>46</v>
      </c>
      <c r="BC9" s="69" t="s">
        <v>46</v>
      </c>
      <c r="BD9" s="69" t="s">
        <v>46</v>
      </c>
      <c r="BE9" s="69" t="s">
        <v>46</v>
      </c>
      <c r="BF9" s="69" t="s">
        <v>46</v>
      </c>
      <c r="BG9" s="69" t="s">
        <v>46</v>
      </c>
      <c r="BH9" s="69" t="s">
        <v>46</v>
      </c>
      <c r="BI9" s="69" t="s">
        <v>46</v>
      </c>
      <c r="BJ9" s="69" t="s">
        <v>46</v>
      </c>
      <c r="BK9" s="69" t="s">
        <v>46</v>
      </c>
      <c r="BL9" s="69" t="s">
        <v>46</v>
      </c>
      <c r="BM9" s="75" t="s">
        <v>11</v>
      </c>
      <c r="BN9" s="75" t="s">
        <v>878</v>
      </c>
      <c r="BO9" s="72">
        <v>19620</v>
      </c>
      <c r="BP9" s="72">
        <v>17516.07</v>
      </c>
      <c r="BQ9" s="75" t="s">
        <v>11</v>
      </c>
      <c r="BR9" s="72">
        <f>Table13[[#This Row],[Inhaler carbon footprint per inhaler in v2.37 (gCO2e) ]]-Table13[[#This Row],[Inhaler carbon footprint per inhaler in v2.36 (gCO2e) ]]</f>
        <v>-2103.9300000000003</v>
      </c>
      <c r="BS9" s="72">
        <f>Table13[[#This Row],[Inhaler carbon footprint per inhaler in v2.37 (gCO2e) ]]-Table13[[#This Row],[Inhaler carbon footprint per inhaler in v2.36 (gCO2e) ]]</f>
        <v>-2103.9300000000003</v>
      </c>
    </row>
    <row r="10" spans="1:71" ht="101.45" customHeight="1" x14ac:dyDescent="0.25">
      <c r="A10" s="69" t="s">
        <v>289</v>
      </c>
      <c r="B10" s="69" t="s">
        <v>880</v>
      </c>
      <c r="C10" s="69" t="s">
        <v>750</v>
      </c>
      <c r="D10" s="69" t="s">
        <v>12</v>
      </c>
      <c r="E10" s="69" t="s">
        <v>6</v>
      </c>
      <c r="F10" s="69" t="s">
        <v>13</v>
      </c>
      <c r="G10" s="69">
        <v>120</v>
      </c>
      <c r="H10" s="70">
        <v>28.32</v>
      </c>
      <c r="I10" s="70">
        <f t="shared" si="1"/>
        <v>0.23600000000000002</v>
      </c>
      <c r="J10" s="69" t="s">
        <v>7</v>
      </c>
      <c r="K10" s="69" t="s">
        <v>7</v>
      </c>
      <c r="L10" s="69" t="s">
        <v>8</v>
      </c>
      <c r="M10" s="69" t="s">
        <v>8</v>
      </c>
      <c r="N10" s="69" t="s">
        <v>2</v>
      </c>
      <c r="O10" s="69" t="s">
        <v>2</v>
      </c>
      <c r="P10" s="69" t="s">
        <v>2</v>
      </c>
      <c r="Q10" s="75" t="s">
        <v>2</v>
      </c>
      <c r="R10" s="69" t="s">
        <v>2</v>
      </c>
      <c r="S10" s="69" t="s">
        <v>2</v>
      </c>
      <c r="T10" s="69" t="s">
        <v>699</v>
      </c>
      <c r="U10" s="75" t="s">
        <v>2</v>
      </c>
      <c r="V10" s="75" t="s">
        <v>2</v>
      </c>
      <c r="W10" s="75" t="s">
        <v>2</v>
      </c>
      <c r="X10" s="75" t="s">
        <v>2</v>
      </c>
      <c r="Y10" s="75" t="s">
        <v>720</v>
      </c>
      <c r="Z10" s="69" t="s">
        <v>79</v>
      </c>
      <c r="AA10" s="69" t="s">
        <v>714</v>
      </c>
      <c r="AB10" s="69" t="s">
        <v>714</v>
      </c>
      <c r="AC10" s="69" t="s">
        <v>881</v>
      </c>
      <c r="AD10" s="72">
        <f>Table13[[#This Row],[Carbon footprint per inhaler attributed to propellant PrescQIPP calculated as gCO2e (from PIL or as assigned in the methodology)11-13]]</f>
        <v>17486.04</v>
      </c>
      <c r="AE10" s="75" t="s">
        <v>530</v>
      </c>
      <c r="AF10" s="75" t="s">
        <v>34</v>
      </c>
      <c r="AG10" s="75" t="s">
        <v>809</v>
      </c>
      <c r="AH10" s="75" t="s">
        <v>34</v>
      </c>
      <c r="AI10" s="75" t="s">
        <v>2</v>
      </c>
      <c r="AJ10" s="72" t="str">
        <f>IF(Table13[[#This Row],[Indicative carbon footprint /inhaler (gCO2e) 7,8]]&gt;1796,"High","Low")</f>
        <v>High</v>
      </c>
      <c r="AK10" s="72" t="s">
        <v>46</v>
      </c>
      <c r="AL10" s="72" t="s">
        <v>46</v>
      </c>
      <c r="AM10" s="70"/>
      <c r="AN10" s="82" t="s">
        <v>177</v>
      </c>
      <c r="AO10" s="92">
        <v>12.228</v>
      </c>
      <c r="AP10" s="82">
        <v>1.7000000000000001E-2</v>
      </c>
      <c r="AQ10" s="91">
        <f>1430*Table13[[#This Row],[Amount of propellant per inhaler (from PIL) (g)12-13]]</f>
        <v>17486.04</v>
      </c>
      <c r="AR10" s="74" t="s">
        <v>23</v>
      </c>
      <c r="AS10" s="69" t="s">
        <v>34</v>
      </c>
      <c r="AT10" s="86" t="s">
        <v>46</v>
      </c>
      <c r="AU10" s="69" t="s">
        <v>46</v>
      </c>
      <c r="AV10" s="69" t="s">
        <v>46</v>
      </c>
      <c r="AW10" s="69" t="s">
        <v>46</v>
      </c>
      <c r="AX10" s="69" t="s">
        <v>46</v>
      </c>
      <c r="AY10" s="69" t="s">
        <v>46</v>
      </c>
      <c r="AZ10" s="69" t="s">
        <v>46</v>
      </c>
      <c r="BA10" s="69" t="s">
        <v>46</v>
      </c>
      <c r="BB10" s="69" t="s">
        <v>46</v>
      </c>
      <c r="BC10" s="69" t="s">
        <v>46</v>
      </c>
      <c r="BD10" s="69" t="s">
        <v>46</v>
      </c>
      <c r="BE10" s="69" t="s">
        <v>46</v>
      </c>
      <c r="BF10" s="69" t="s">
        <v>46</v>
      </c>
      <c r="BG10" s="69" t="s">
        <v>46</v>
      </c>
      <c r="BH10" s="69" t="s">
        <v>46</v>
      </c>
      <c r="BI10" s="69" t="s">
        <v>46</v>
      </c>
      <c r="BJ10" s="69" t="s">
        <v>46</v>
      </c>
      <c r="BK10" s="69" t="s">
        <v>46</v>
      </c>
      <c r="BL10" s="69" t="s">
        <v>46</v>
      </c>
      <c r="BM10" s="75" t="s">
        <v>11</v>
      </c>
      <c r="BN10" s="75" t="s">
        <v>878</v>
      </c>
      <c r="BO10" s="72">
        <v>19620</v>
      </c>
      <c r="BP10" s="72">
        <v>17486.04</v>
      </c>
      <c r="BQ10" s="75" t="s">
        <v>11</v>
      </c>
      <c r="BR10" s="72">
        <f>Table13[[#This Row],[Inhaler carbon footprint per inhaler in v2.37 (gCO2e) ]]-Table13[[#This Row],[Inhaler carbon footprint per inhaler in v2.36 (gCO2e) ]]</f>
        <v>-2133.9599999999991</v>
      </c>
      <c r="BS10" s="72">
        <f>Table13[[#This Row],[Inhaler carbon footprint per inhaler in v2.37 (gCO2e) ]]-Table13[[#This Row],[Inhaler carbon footprint per inhaler in v2.36 (gCO2e) ]]</f>
        <v>-2133.9599999999991</v>
      </c>
    </row>
    <row r="11" spans="1:71" ht="62.45" customHeight="1" x14ac:dyDescent="0.25">
      <c r="A11" s="69" t="s">
        <v>290</v>
      </c>
      <c r="B11" s="69" t="s">
        <v>592</v>
      </c>
      <c r="C11" s="69" t="s">
        <v>291</v>
      </c>
      <c r="D11" s="69" t="s">
        <v>12</v>
      </c>
      <c r="E11" s="69" t="s">
        <v>25</v>
      </c>
      <c r="F11" s="69" t="s">
        <v>13</v>
      </c>
      <c r="G11" s="69">
        <v>120</v>
      </c>
      <c r="H11" s="70">
        <v>38.619999999999997</v>
      </c>
      <c r="I11" s="70">
        <f t="shared" si="1"/>
        <v>0.3218333333333333</v>
      </c>
      <c r="J11" s="69" t="s">
        <v>26</v>
      </c>
      <c r="K11" s="69" t="s">
        <v>26</v>
      </c>
      <c r="L11" s="69" t="s">
        <v>2</v>
      </c>
      <c r="M11" s="75" t="s">
        <v>8</v>
      </c>
      <c r="N11" s="75" t="s">
        <v>2</v>
      </c>
      <c r="O11" s="75" t="s">
        <v>706</v>
      </c>
      <c r="P11" s="75" t="s">
        <v>708</v>
      </c>
      <c r="Q11" s="75" t="s">
        <v>699</v>
      </c>
      <c r="R11" s="75" t="s">
        <v>2</v>
      </c>
      <c r="S11" s="75" t="s">
        <v>2</v>
      </c>
      <c r="T11" s="75" t="s">
        <v>2</v>
      </c>
      <c r="U11" s="75" t="s">
        <v>2</v>
      </c>
      <c r="V11" s="75" t="s">
        <v>2</v>
      </c>
      <c r="W11" s="75" t="s">
        <v>2</v>
      </c>
      <c r="X11" s="75" t="s">
        <v>2</v>
      </c>
      <c r="Y11" s="75" t="s">
        <v>719</v>
      </c>
      <c r="Z11" s="69" t="s">
        <v>8</v>
      </c>
      <c r="AA11" s="69" t="s">
        <v>715</v>
      </c>
      <c r="AB11" s="69" t="s">
        <v>715</v>
      </c>
      <c r="AC11" s="69" t="s">
        <v>940</v>
      </c>
      <c r="AD11" s="72">
        <f>Table13[[#This Row],[Carbon footprint per inhaler attributed to propellant PrescQIPP calculated as gCO2e (from PIL or as assigned in the methodology)11-13]]</f>
        <v>12584.000000000002</v>
      </c>
      <c r="AE11" s="75" t="s">
        <v>530</v>
      </c>
      <c r="AF11" s="75" t="s">
        <v>46</v>
      </c>
      <c r="AG11" s="75" t="s">
        <v>46</v>
      </c>
      <c r="AH11" s="75" t="s">
        <v>46</v>
      </c>
      <c r="AI11" s="75" t="s">
        <v>46</v>
      </c>
      <c r="AJ11" s="72" t="str">
        <f>IF(Table13[[#This Row],[Indicative carbon footprint /inhaler (gCO2e) 7,8]]&gt;1796,"High","Low")</f>
        <v>High</v>
      </c>
      <c r="AK11" s="72" t="s">
        <v>46</v>
      </c>
      <c r="AL11" s="75" t="s">
        <v>46</v>
      </c>
      <c r="AM11" s="70" t="s">
        <v>279</v>
      </c>
      <c r="AN11" s="82" t="s">
        <v>177</v>
      </c>
      <c r="AO11" s="82">
        <v>8.8000000000000007</v>
      </c>
      <c r="AP11" s="82">
        <v>1.2999999999999999E-2</v>
      </c>
      <c r="AQ11" s="91">
        <f>1430*Table13[[#This Row],[Amount of propellant per inhaler (from PIL) (g)12-13]]</f>
        <v>12584.000000000002</v>
      </c>
      <c r="AR11" s="74" t="s">
        <v>27</v>
      </c>
      <c r="AS11" s="69" t="s">
        <v>34</v>
      </c>
      <c r="AT11" s="86" t="s">
        <v>46</v>
      </c>
      <c r="AU11" s="69" t="s">
        <v>46</v>
      </c>
      <c r="AV11" s="69" t="s">
        <v>46</v>
      </c>
      <c r="AW11" s="69" t="s">
        <v>46</v>
      </c>
      <c r="AX11" s="69" t="s">
        <v>46</v>
      </c>
      <c r="AY11" s="69" t="s">
        <v>46</v>
      </c>
      <c r="AZ11" s="69" t="s">
        <v>46</v>
      </c>
      <c r="BA11" s="69" t="s">
        <v>46</v>
      </c>
      <c r="BB11" s="69" t="s">
        <v>46</v>
      </c>
      <c r="BC11" s="69" t="s">
        <v>46</v>
      </c>
      <c r="BD11" s="69" t="s">
        <v>46</v>
      </c>
      <c r="BE11" s="69" t="s">
        <v>46</v>
      </c>
      <c r="BF11" s="69" t="s">
        <v>46</v>
      </c>
      <c r="BG11" s="69" t="s">
        <v>46</v>
      </c>
      <c r="BH11" s="69" t="s">
        <v>46</v>
      </c>
      <c r="BI11" s="69" t="s">
        <v>46</v>
      </c>
      <c r="BJ11" s="69" t="s">
        <v>46</v>
      </c>
      <c r="BK11" s="69" t="s">
        <v>46</v>
      </c>
      <c r="BL11" s="69" t="s">
        <v>46</v>
      </c>
      <c r="BM11" s="75" t="s">
        <v>843</v>
      </c>
      <c r="BN11" s="75" t="s">
        <v>877</v>
      </c>
      <c r="BO11" s="72">
        <v>12210</v>
      </c>
      <c r="BP11" s="72">
        <v>12584.000000000002</v>
      </c>
      <c r="BQ11" s="75" t="s">
        <v>11</v>
      </c>
      <c r="BR11" s="72">
        <f>Table13[[#This Row],[Inhaler carbon footprint per inhaler in v2.37 (gCO2e) ]]-Table13[[#This Row],[Inhaler carbon footprint per inhaler in v2.36 (gCO2e) ]]</f>
        <v>374.00000000000182</v>
      </c>
      <c r="BS11" s="72">
        <f>Table13[[#This Row],[Inhaler carbon footprint per inhaler in v2.37 (gCO2e) ]]-Table13[[#This Row],[Inhaler carbon footprint per inhaler in v2.36 (gCO2e) ]]</f>
        <v>374.00000000000182</v>
      </c>
    </row>
    <row r="12" spans="1:71" ht="64.5" customHeight="1" x14ac:dyDescent="0.25">
      <c r="A12" s="29" t="s">
        <v>1167</v>
      </c>
      <c r="B12" s="29" t="s">
        <v>592</v>
      </c>
      <c r="C12" s="29" t="s">
        <v>291</v>
      </c>
      <c r="D12" s="29" t="s">
        <v>12</v>
      </c>
      <c r="E12" s="29" t="s">
        <v>25</v>
      </c>
      <c r="F12" s="29" t="s">
        <v>13</v>
      </c>
      <c r="G12" s="29">
        <v>60</v>
      </c>
      <c r="H12" s="47">
        <v>19.309999999999999</v>
      </c>
      <c r="I12" s="47">
        <f t="shared" si="1"/>
        <v>0.3218333333333333</v>
      </c>
      <c r="J12" s="29" t="s">
        <v>26</v>
      </c>
      <c r="K12" s="29" t="s">
        <v>26</v>
      </c>
      <c r="L12" s="29" t="s">
        <v>2</v>
      </c>
      <c r="M12" s="46" t="s">
        <v>8</v>
      </c>
      <c r="N12" s="46" t="s">
        <v>2</v>
      </c>
      <c r="O12" s="46" t="s">
        <v>706</v>
      </c>
      <c r="P12" s="46" t="s">
        <v>708</v>
      </c>
      <c r="Q12" s="46" t="s">
        <v>699</v>
      </c>
      <c r="R12" s="46" t="s">
        <v>2</v>
      </c>
      <c r="S12" s="46" t="s">
        <v>2</v>
      </c>
      <c r="T12" s="46" t="s">
        <v>2</v>
      </c>
      <c r="U12" s="46" t="s">
        <v>2</v>
      </c>
      <c r="V12" s="46" t="s">
        <v>2</v>
      </c>
      <c r="W12" s="46" t="s">
        <v>2</v>
      </c>
      <c r="X12" s="46" t="s">
        <v>2</v>
      </c>
      <c r="Y12" s="46" t="s">
        <v>719</v>
      </c>
      <c r="Z12" s="29" t="s">
        <v>8</v>
      </c>
      <c r="AA12" s="29" t="s">
        <v>715</v>
      </c>
      <c r="AB12" s="29" t="s">
        <v>715</v>
      </c>
      <c r="AC12" s="29" t="s">
        <v>940</v>
      </c>
      <c r="AD12" s="30">
        <f>Table13[[#This Row],[Carbon footprint per inhaler attributed to propellant PrescQIPP calculated as gCO2e (from PIL or as assigned in the methodology)11-13]]</f>
        <v>7993.7</v>
      </c>
      <c r="AE12" s="46" t="s">
        <v>530</v>
      </c>
      <c r="AF12" s="46" t="s">
        <v>46</v>
      </c>
      <c r="AG12" s="46" t="s">
        <v>46</v>
      </c>
      <c r="AH12" s="46" t="s">
        <v>46</v>
      </c>
      <c r="AI12" s="46" t="s">
        <v>46</v>
      </c>
      <c r="AJ12" s="30" t="str">
        <f>IF(Table13[[#This Row],[Indicative carbon footprint /inhaler (gCO2e) 7,8]]&gt;1796,"High","Low")</f>
        <v>High</v>
      </c>
      <c r="AK12" s="30" t="s">
        <v>46</v>
      </c>
      <c r="AL12" s="46" t="s">
        <v>46</v>
      </c>
      <c r="AM12" s="47" t="s">
        <v>1166</v>
      </c>
      <c r="AN12" s="48" t="s">
        <v>177</v>
      </c>
      <c r="AO12" s="48">
        <v>5.59</v>
      </c>
      <c r="AP12" s="48">
        <v>8.0000000000000002E-3</v>
      </c>
      <c r="AQ12" s="50">
        <f>1430*Table13[[#This Row],[Amount of propellant per inhaler (from PIL) (g)12-13]]</f>
        <v>7993.7</v>
      </c>
      <c r="AR12" s="49" t="s">
        <v>280</v>
      </c>
      <c r="AS12" s="29" t="s">
        <v>34</v>
      </c>
      <c r="AT12" s="113" t="s">
        <v>46</v>
      </c>
      <c r="AU12" s="29" t="s">
        <v>46</v>
      </c>
      <c r="AV12" s="29" t="s">
        <v>46</v>
      </c>
      <c r="AW12" s="29" t="s">
        <v>46</v>
      </c>
      <c r="AX12" s="29" t="s">
        <v>46</v>
      </c>
      <c r="AY12" s="29" t="s">
        <v>46</v>
      </c>
      <c r="AZ12" s="29" t="s">
        <v>46</v>
      </c>
      <c r="BA12" s="29" t="s">
        <v>46</v>
      </c>
      <c r="BB12" s="29" t="s">
        <v>46</v>
      </c>
      <c r="BC12" s="29" t="s">
        <v>46</v>
      </c>
      <c r="BD12" s="29" t="s">
        <v>46</v>
      </c>
      <c r="BE12" s="29" t="s">
        <v>46</v>
      </c>
      <c r="BF12" s="29" t="s">
        <v>46</v>
      </c>
      <c r="BG12" s="29" t="s">
        <v>46</v>
      </c>
      <c r="BH12" s="29" t="s">
        <v>46</v>
      </c>
      <c r="BI12" s="29" t="s">
        <v>46</v>
      </c>
      <c r="BJ12" s="29" t="s">
        <v>46</v>
      </c>
      <c r="BK12" s="29" t="s">
        <v>46</v>
      </c>
      <c r="BL12" s="29" t="s">
        <v>46</v>
      </c>
      <c r="BM12" s="46" t="s">
        <v>843</v>
      </c>
      <c r="BN12" s="46" t="s">
        <v>877</v>
      </c>
      <c r="BO12" s="30">
        <v>6105</v>
      </c>
      <c r="BP12" s="30">
        <v>7993.7</v>
      </c>
      <c r="BQ12" s="46" t="s">
        <v>11</v>
      </c>
      <c r="BR12" s="30">
        <f>Table13[[#This Row],[Inhaler carbon footprint per inhaler in v2.37 (gCO2e) ]]-Table13[[#This Row],[Inhaler carbon footprint per inhaler in v2.36 (gCO2e) ]]</f>
        <v>1888.6999999999998</v>
      </c>
      <c r="BS12" s="30">
        <f>Table13[[#This Row],[Inhaler carbon footprint per inhaler in v2.37 (gCO2e) ]]-Table13[[#This Row],[Inhaler carbon footprint per inhaler in v2.36 (gCO2e) ]]</f>
        <v>1888.6999999999998</v>
      </c>
    </row>
    <row r="13" spans="1:71" ht="78" customHeight="1" x14ac:dyDescent="0.25">
      <c r="A13" s="69" t="s">
        <v>292</v>
      </c>
      <c r="B13" s="69" t="s">
        <v>592</v>
      </c>
      <c r="C13" s="69" t="s">
        <v>293</v>
      </c>
      <c r="D13" s="69" t="s">
        <v>12</v>
      </c>
      <c r="E13" s="69" t="s">
        <v>25</v>
      </c>
      <c r="F13" s="69" t="s">
        <v>13</v>
      </c>
      <c r="G13" s="69">
        <v>120</v>
      </c>
      <c r="H13" s="70">
        <v>32.83</v>
      </c>
      <c r="I13" s="70">
        <f t="shared" si="1"/>
        <v>0.27358333333333335</v>
      </c>
      <c r="J13" s="69" t="s">
        <v>26</v>
      </c>
      <c r="K13" s="69" t="s">
        <v>26</v>
      </c>
      <c r="L13" s="69" t="s">
        <v>2</v>
      </c>
      <c r="M13" s="75" t="s">
        <v>8</v>
      </c>
      <c r="N13" s="75" t="s">
        <v>2</v>
      </c>
      <c r="O13" s="75" t="s">
        <v>707</v>
      </c>
      <c r="P13" s="75" t="s">
        <v>699</v>
      </c>
      <c r="Q13" s="75" t="s">
        <v>703</v>
      </c>
      <c r="R13" s="75" t="s">
        <v>2</v>
      </c>
      <c r="S13" s="75" t="s">
        <v>2</v>
      </c>
      <c r="T13" s="75" t="s">
        <v>2</v>
      </c>
      <c r="U13" s="75" t="s">
        <v>2</v>
      </c>
      <c r="V13" s="75" t="s">
        <v>2</v>
      </c>
      <c r="W13" s="75" t="s">
        <v>2</v>
      </c>
      <c r="X13" s="75" t="s">
        <v>2</v>
      </c>
      <c r="Y13" s="75" t="s">
        <v>719</v>
      </c>
      <c r="Z13" s="69" t="s">
        <v>8</v>
      </c>
      <c r="AA13" s="69" t="s">
        <v>715</v>
      </c>
      <c r="AB13" s="69" t="s">
        <v>715</v>
      </c>
      <c r="AC13" s="69" t="s">
        <v>940</v>
      </c>
      <c r="AD13" s="72">
        <f>Table13[[#This Row],[Carbon footprint per inhaler attributed to propellant PrescQIPP calculated as gCO2e (from PIL or as assigned in the methodology)11-13]]</f>
        <v>12612.6</v>
      </c>
      <c r="AE13" s="75" t="s">
        <v>530</v>
      </c>
      <c r="AF13" s="75" t="s">
        <v>46</v>
      </c>
      <c r="AG13" s="75" t="s">
        <v>46</v>
      </c>
      <c r="AH13" s="75" t="s">
        <v>46</v>
      </c>
      <c r="AI13" s="75" t="s">
        <v>46</v>
      </c>
      <c r="AJ13" s="72" t="str">
        <f>IF(Table13[[#This Row],[Indicative carbon footprint /inhaler (gCO2e) 7,8]]&gt;1796,"High","Low")</f>
        <v>High</v>
      </c>
      <c r="AK13" s="75" t="s">
        <v>46</v>
      </c>
      <c r="AL13" s="75" t="s">
        <v>46</v>
      </c>
      <c r="AM13" s="70" t="s">
        <v>279</v>
      </c>
      <c r="AN13" s="82" t="s">
        <v>177</v>
      </c>
      <c r="AO13" s="82">
        <v>8.82</v>
      </c>
      <c r="AP13" s="82">
        <v>1.2999999999999999E-2</v>
      </c>
      <c r="AQ13" s="91">
        <f>1430*Table13[[#This Row],[Amount of propellant per inhaler (from PIL) (g)12-13]]</f>
        <v>12612.6</v>
      </c>
      <c r="AR13" s="74" t="s">
        <v>28</v>
      </c>
      <c r="AS13" s="69" t="s">
        <v>34</v>
      </c>
      <c r="AT13" s="86" t="s">
        <v>46</v>
      </c>
      <c r="AU13" s="69" t="s">
        <v>46</v>
      </c>
      <c r="AV13" s="69" t="s">
        <v>46</v>
      </c>
      <c r="AW13" s="69" t="s">
        <v>46</v>
      </c>
      <c r="AX13" s="69" t="s">
        <v>46</v>
      </c>
      <c r="AY13" s="69" t="s">
        <v>46</v>
      </c>
      <c r="AZ13" s="69" t="s">
        <v>46</v>
      </c>
      <c r="BA13" s="69" t="s">
        <v>46</v>
      </c>
      <c r="BB13" s="69" t="s">
        <v>46</v>
      </c>
      <c r="BC13" s="69" t="s">
        <v>46</v>
      </c>
      <c r="BD13" s="69" t="s">
        <v>46</v>
      </c>
      <c r="BE13" s="69" t="s">
        <v>46</v>
      </c>
      <c r="BF13" s="69" t="s">
        <v>46</v>
      </c>
      <c r="BG13" s="69" t="s">
        <v>46</v>
      </c>
      <c r="BH13" s="69" t="s">
        <v>46</v>
      </c>
      <c r="BI13" s="69" t="s">
        <v>46</v>
      </c>
      <c r="BJ13" s="69" t="s">
        <v>46</v>
      </c>
      <c r="BK13" s="69" t="s">
        <v>46</v>
      </c>
      <c r="BL13" s="69" t="s">
        <v>46</v>
      </c>
      <c r="BM13" s="75" t="s">
        <v>843</v>
      </c>
      <c r="BN13" s="75" t="s">
        <v>877</v>
      </c>
      <c r="BO13" s="72">
        <v>12210</v>
      </c>
      <c r="BP13" s="72">
        <v>12612.6</v>
      </c>
      <c r="BQ13" s="75" t="s">
        <v>11</v>
      </c>
      <c r="BR13" s="72">
        <f>Table13[[#This Row],[Inhaler carbon footprint per inhaler in v2.37 (gCO2e) ]]-Table13[[#This Row],[Inhaler carbon footprint per inhaler in v2.36 (gCO2e) ]]</f>
        <v>402.60000000000036</v>
      </c>
      <c r="BS13" s="72">
        <f>Table13[[#This Row],[Inhaler carbon footprint per inhaler in v2.37 (gCO2e) ]]-Table13[[#This Row],[Inhaler carbon footprint per inhaler in v2.36 (gCO2e) ]]</f>
        <v>402.60000000000036</v>
      </c>
    </row>
    <row r="14" spans="1:71" ht="81.95" customHeight="1" x14ac:dyDescent="0.25">
      <c r="A14" s="69" t="s">
        <v>29</v>
      </c>
      <c r="B14" s="69" t="s">
        <v>30</v>
      </c>
      <c r="C14" s="69" t="s">
        <v>31</v>
      </c>
      <c r="D14" s="69" t="s">
        <v>32</v>
      </c>
      <c r="E14" s="69" t="s">
        <v>33</v>
      </c>
      <c r="F14" s="69" t="s">
        <v>3</v>
      </c>
      <c r="G14" s="69">
        <v>30</v>
      </c>
      <c r="H14" s="70">
        <v>32.5</v>
      </c>
      <c r="I14" s="70">
        <f t="shared" si="1"/>
        <v>1.0833333333333333</v>
      </c>
      <c r="J14" s="69" t="s">
        <v>7</v>
      </c>
      <c r="K14" s="69" t="s">
        <v>7</v>
      </c>
      <c r="L14" s="69" t="s">
        <v>2</v>
      </c>
      <c r="M14" s="75" t="s">
        <v>8</v>
      </c>
      <c r="N14" s="75" t="s">
        <v>2</v>
      </c>
      <c r="O14" s="75" t="s">
        <v>2</v>
      </c>
      <c r="P14" s="75" t="s">
        <v>2</v>
      </c>
      <c r="Q14" s="75" t="s">
        <v>2</v>
      </c>
      <c r="R14" s="75" t="s">
        <v>2</v>
      </c>
      <c r="S14" s="75" t="s">
        <v>2</v>
      </c>
      <c r="T14" s="75" t="s">
        <v>2</v>
      </c>
      <c r="U14" s="75" t="s">
        <v>2</v>
      </c>
      <c r="V14" s="75" t="s">
        <v>2</v>
      </c>
      <c r="W14" s="75" t="s">
        <v>2</v>
      </c>
      <c r="X14" s="75" t="s">
        <v>2</v>
      </c>
      <c r="Y14" s="75" t="s">
        <v>2</v>
      </c>
      <c r="Z14" s="69" t="s">
        <v>79</v>
      </c>
      <c r="AA14" s="69" t="s">
        <v>908</v>
      </c>
      <c r="AB14" s="69" t="s">
        <v>714</v>
      </c>
      <c r="AC14" s="69" t="s">
        <v>1084</v>
      </c>
      <c r="AD14" s="72">
        <v>747</v>
      </c>
      <c r="AE14" s="75" t="s">
        <v>9</v>
      </c>
      <c r="AF14" s="75" t="s">
        <v>46</v>
      </c>
      <c r="AG14" s="75" t="s">
        <v>46</v>
      </c>
      <c r="AH14" s="75" t="s">
        <v>46</v>
      </c>
      <c r="AI14" s="75" t="s">
        <v>46</v>
      </c>
      <c r="AJ14" s="72" t="str">
        <f>IF(Table13[[#This Row],[Indicative carbon footprint /inhaler (gCO2e) 7,8]]&gt;1796,"High","Low")</f>
        <v>Low</v>
      </c>
      <c r="AK14" s="72" t="s">
        <v>46</v>
      </c>
      <c r="AL14" s="72" t="s">
        <v>46</v>
      </c>
      <c r="AM14" s="70"/>
      <c r="AN14" s="69" t="s">
        <v>2</v>
      </c>
      <c r="AO14" s="69" t="s">
        <v>2</v>
      </c>
      <c r="AP14" s="69" t="s">
        <v>2</v>
      </c>
      <c r="AQ14" s="69" t="s">
        <v>2</v>
      </c>
      <c r="AR14" s="74" t="s">
        <v>543</v>
      </c>
      <c r="AS14" s="69" t="s">
        <v>34</v>
      </c>
      <c r="AT14" s="69" t="s">
        <v>35</v>
      </c>
      <c r="AU14" s="69">
        <v>5</v>
      </c>
      <c r="AV14" s="69">
        <v>235</v>
      </c>
      <c r="AW14" s="69" t="s">
        <v>422</v>
      </c>
      <c r="AX14" s="69" t="s">
        <v>272</v>
      </c>
      <c r="AY14" s="69">
        <v>366</v>
      </c>
      <c r="AZ14" s="69" t="s">
        <v>423</v>
      </c>
      <c r="BA14" s="69" t="s">
        <v>423</v>
      </c>
      <c r="BB14" s="69">
        <v>29</v>
      </c>
      <c r="BC14" s="69">
        <v>60</v>
      </c>
      <c r="BD14" s="69">
        <v>52</v>
      </c>
      <c r="BE14" s="69" t="s">
        <v>46</v>
      </c>
      <c r="BF14" s="69" t="s">
        <v>2</v>
      </c>
      <c r="BG14" s="69" t="s">
        <v>2</v>
      </c>
      <c r="BH14" s="69" t="s">
        <v>2</v>
      </c>
      <c r="BI14" s="69" t="s">
        <v>2</v>
      </c>
      <c r="BJ14" s="69" t="s">
        <v>2</v>
      </c>
      <c r="BK14" s="69" t="s">
        <v>2</v>
      </c>
      <c r="BL14" s="69" t="s">
        <v>36</v>
      </c>
      <c r="BM14" s="75" t="s">
        <v>843</v>
      </c>
      <c r="BN14" s="75" t="s">
        <v>2</v>
      </c>
      <c r="BO14" s="72">
        <v>747</v>
      </c>
      <c r="BP14" s="72">
        <v>747</v>
      </c>
      <c r="BQ14" s="75" t="s">
        <v>34</v>
      </c>
      <c r="BR14" s="72">
        <f>Table13[[#This Row],[Inhaler carbon footprint per inhaler in v2.37 (gCO2e) ]]-Table13[[#This Row],[Inhaler carbon footprint per inhaler in v2.36 (gCO2e) ]]</f>
        <v>0</v>
      </c>
      <c r="BS14" s="72">
        <f>Table13[[#This Row],[Inhaler carbon footprint per inhaler in v2.37 (gCO2e) ]]-Table13[[#This Row],[Inhaler carbon footprint per inhaler in v2.36 (gCO2e) ]]</f>
        <v>0</v>
      </c>
    </row>
    <row r="15" spans="1:71" ht="51.95" customHeight="1" x14ac:dyDescent="0.25">
      <c r="A15" s="29" t="s">
        <v>1170</v>
      </c>
      <c r="B15" s="29" t="s">
        <v>37</v>
      </c>
      <c r="C15" s="29" t="s">
        <v>294</v>
      </c>
      <c r="D15" s="29" t="s">
        <v>12</v>
      </c>
      <c r="E15" s="29" t="s">
        <v>25</v>
      </c>
      <c r="F15" s="29" t="s">
        <v>3</v>
      </c>
      <c r="G15" s="29">
        <v>60</v>
      </c>
      <c r="H15" s="47">
        <v>23.54</v>
      </c>
      <c r="I15" s="47">
        <f t="shared" si="1"/>
        <v>0.39233333333333331</v>
      </c>
      <c r="J15" s="29" t="s">
        <v>26</v>
      </c>
      <c r="K15" s="29" t="s">
        <v>26</v>
      </c>
      <c r="L15" s="29" t="s">
        <v>2</v>
      </c>
      <c r="M15" s="46" t="s">
        <v>8</v>
      </c>
      <c r="N15" s="46" t="s">
        <v>2</v>
      </c>
      <c r="O15" s="46" t="s">
        <v>706</v>
      </c>
      <c r="P15" s="46" t="s">
        <v>708</v>
      </c>
      <c r="Q15" s="46" t="s">
        <v>699</v>
      </c>
      <c r="R15" s="46" t="s">
        <v>2</v>
      </c>
      <c r="S15" s="46" t="s">
        <v>2</v>
      </c>
      <c r="T15" s="46" t="s">
        <v>2</v>
      </c>
      <c r="U15" s="46" t="s">
        <v>2</v>
      </c>
      <c r="V15" s="46" t="s">
        <v>2</v>
      </c>
      <c r="W15" s="46" t="s">
        <v>2</v>
      </c>
      <c r="X15" s="46" t="s">
        <v>2</v>
      </c>
      <c r="Y15" s="46" t="s">
        <v>722</v>
      </c>
      <c r="Z15" s="29" t="s">
        <v>79</v>
      </c>
      <c r="AA15" s="29" t="s">
        <v>846</v>
      </c>
      <c r="AB15" s="29" t="s">
        <v>714</v>
      </c>
      <c r="AC15" s="29" t="s">
        <v>847</v>
      </c>
      <c r="AD15" s="30">
        <v>667</v>
      </c>
      <c r="AE15" s="46" t="s">
        <v>964</v>
      </c>
      <c r="AF15" s="46" t="s">
        <v>2</v>
      </c>
      <c r="AG15" s="46" t="s">
        <v>2</v>
      </c>
      <c r="AH15" s="46" t="s">
        <v>2</v>
      </c>
      <c r="AI15" s="46" t="s">
        <v>2</v>
      </c>
      <c r="AJ15" s="30" t="str">
        <f>IF(Table13[[#This Row],[Indicative carbon footprint /inhaler (gCO2e) 7,8]]&gt;1796,"High","Low")</f>
        <v>Low</v>
      </c>
      <c r="AK15" s="30" t="s">
        <v>46</v>
      </c>
      <c r="AL15" s="30" t="s">
        <v>46</v>
      </c>
      <c r="AM15" s="47" t="s">
        <v>1172</v>
      </c>
      <c r="AN15" s="29" t="s">
        <v>2</v>
      </c>
      <c r="AO15" s="29" t="s">
        <v>2</v>
      </c>
      <c r="AP15" s="29" t="s">
        <v>2</v>
      </c>
      <c r="AQ15" s="29" t="s">
        <v>2</v>
      </c>
      <c r="AR15" s="49" t="s">
        <v>38</v>
      </c>
      <c r="AS15" s="29" t="s">
        <v>34</v>
      </c>
      <c r="AT15" s="29" t="s">
        <v>46</v>
      </c>
      <c r="AU15" s="29" t="s">
        <v>46</v>
      </c>
      <c r="AV15" s="29" t="s">
        <v>46</v>
      </c>
      <c r="AW15" s="29" t="s">
        <v>46</v>
      </c>
      <c r="AX15" s="29" t="s">
        <v>46</v>
      </c>
      <c r="AY15" s="29" t="s">
        <v>46</v>
      </c>
      <c r="AZ15" s="29" t="s">
        <v>46</v>
      </c>
      <c r="BA15" s="29" t="s">
        <v>46</v>
      </c>
      <c r="BB15" s="29" t="s">
        <v>46</v>
      </c>
      <c r="BC15" s="29" t="s">
        <v>46</v>
      </c>
      <c r="BD15" s="29" t="s">
        <v>46</v>
      </c>
      <c r="BE15" s="29" t="s">
        <v>46</v>
      </c>
      <c r="BF15" s="29" t="s">
        <v>2</v>
      </c>
      <c r="BG15" s="29" t="s">
        <v>2</v>
      </c>
      <c r="BH15" s="29" t="s">
        <v>2</v>
      </c>
      <c r="BI15" s="29" t="s">
        <v>2</v>
      </c>
      <c r="BJ15" s="29" t="s">
        <v>2</v>
      </c>
      <c r="BK15" s="29" t="s">
        <v>2</v>
      </c>
      <c r="BL15" s="29"/>
      <c r="BM15" s="46" t="s">
        <v>11</v>
      </c>
      <c r="BN15" s="46" t="s">
        <v>2</v>
      </c>
      <c r="BO15" s="30">
        <v>1125</v>
      </c>
      <c r="BP15" s="30">
        <v>667</v>
      </c>
      <c r="BQ15" s="46" t="s">
        <v>11</v>
      </c>
      <c r="BR15" s="30">
        <f>Table13[[#This Row],[Inhaler carbon footprint per inhaler in v2.37 (gCO2e) ]]-Table13[[#This Row],[Inhaler carbon footprint per inhaler in v2.36 (gCO2e) ]]</f>
        <v>-458</v>
      </c>
      <c r="BS15" s="30">
        <f>Table13[[#This Row],[Inhaler carbon footprint per inhaler in v2.37 (gCO2e) ]]-Table13[[#This Row],[Inhaler carbon footprint per inhaler in v2.36 (gCO2e) ]]</f>
        <v>-458</v>
      </c>
    </row>
    <row r="16" spans="1:71" ht="66.95" customHeight="1" x14ac:dyDescent="0.25">
      <c r="A16" s="29" t="s">
        <v>1170</v>
      </c>
      <c r="B16" s="29" t="s">
        <v>37</v>
      </c>
      <c r="C16" s="29" t="s">
        <v>294</v>
      </c>
      <c r="D16" s="29" t="s">
        <v>12</v>
      </c>
      <c r="E16" s="29" t="s">
        <v>25</v>
      </c>
      <c r="F16" s="29" t="s">
        <v>3</v>
      </c>
      <c r="G16" s="29">
        <v>30</v>
      </c>
      <c r="H16" s="47">
        <v>15.7</v>
      </c>
      <c r="I16" s="47">
        <f t="shared" si="1"/>
        <v>0.52333333333333332</v>
      </c>
      <c r="J16" s="29" t="s">
        <v>26</v>
      </c>
      <c r="K16" s="29" t="s">
        <v>26</v>
      </c>
      <c r="L16" s="29" t="s">
        <v>2</v>
      </c>
      <c r="M16" s="46" t="s">
        <v>8</v>
      </c>
      <c r="N16" s="46" t="s">
        <v>2</v>
      </c>
      <c r="O16" s="46" t="s">
        <v>706</v>
      </c>
      <c r="P16" s="46" t="s">
        <v>708</v>
      </c>
      <c r="Q16" s="46" t="s">
        <v>699</v>
      </c>
      <c r="R16" s="46" t="s">
        <v>2</v>
      </c>
      <c r="S16" s="46" t="s">
        <v>2</v>
      </c>
      <c r="T16" s="46" t="s">
        <v>2</v>
      </c>
      <c r="U16" s="46" t="s">
        <v>2</v>
      </c>
      <c r="V16" s="46" t="s">
        <v>2</v>
      </c>
      <c r="W16" s="46" t="s">
        <v>2</v>
      </c>
      <c r="X16" s="46" t="s">
        <v>2</v>
      </c>
      <c r="Y16" s="46" t="s">
        <v>722</v>
      </c>
      <c r="Z16" s="29" t="s">
        <v>79</v>
      </c>
      <c r="AA16" s="29" t="s">
        <v>846</v>
      </c>
      <c r="AB16" s="29" t="s">
        <v>714</v>
      </c>
      <c r="AC16" s="29" t="s">
        <v>847</v>
      </c>
      <c r="AD16" s="30">
        <v>667</v>
      </c>
      <c r="AE16" s="46" t="s">
        <v>964</v>
      </c>
      <c r="AF16" s="46" t="s">
        <v>2</v>
      </c>
      <c r="AG16" s="46" t="s">
        <v>2</v>
      </c>
      <c r="AH16" s="46" t="s">
        <v>2</v>
      </c>
      <c r="AI16" s="46" t="s">
        <v>2</v>
      </c>
      <c r="AJ16" s="30" t="str">
        <f>IF(Table13[[#This Row],[Indicative carbon footprint /inhaler (gCO2e) 7,8]]&gt;1796,"High","Low")</f>
        <v>Low</v>
      </c>
      <c r="AK16" s="30" t="s">
        <v>46</v>
      </c>
      <c r="AL16" s="30" t="s">
        <v>46</v>
      </c>
      <c r="AM16" s="47" t="s">
        <v>1173</v>
      </c>
      <c r="AN16" s="29" t="s">
        <v>2</v>
      </c>
      <c r="AO16" s="29" t="s">
        <v>2</v>
      </c>
      <c r="AP16" s="29" t="s">
        <v>2</v>
      </c>
      <c r="AQ16" s="29" t="s">
        <v>2</v>
      </c>
      <c r="AR16" s="49" t="s">
        <v>39</v>
      </c>
      <c r="AS16" s="29" t="s">
        <v>34</v>
      </c>
      <c r="AT16" s="29" t="s">
        <v>46</v>
      </c>
      <c r="AU16" s="29" t="s">
        <v>46</v>
      </c>
      <c r="AV16" s="29" t="s">
        <v>46</v>
      </c>
      <c r="AW16" s="29" t="s">
        <v>46</v>
      </c>
      <c r="AX16" s="29" t="s">
        <v>46</v>
      </c>
      <c r="AY16" s="29" t="s">
        <v>46</v>
      </c>
      <c r="AZ16" s="29" t="s">
        <v>46</v>
      </c>
      <c r="BA16" s="29" t="s">
        <v>46</v>
      </c>
      <c r="BB16" s="29" t="s">
        <v>46</v>
      </c>
      <c r="BC16" s="29" t="s">
        <v>46</v>
      </c>
      <c r="BD16" s="29" t="s">
        <v>46</v>
      </c>
      <c r="BE16" s="29" t="s">
        <v>46</v>
      </c>
      <c r="BF16" s="29" t="s">
        <v>2</v>
      </c>
      <c r="BG16" s="29" t="s">
        <v>2</v>
      </c>
      <c r="BH16" s="29" t="s">
        <v>2</v>
      </c>
      <c r="BI16" s="29" t="s">
        <v>2</v>
      </c>
      <c r="BJ16" s="29" t="s">
        <v>2</v>
      </c>
      <c r="BK16" s="29" t="s">
        <v>2</v>
      </c>
      <c r="BL16" s="29"/>
      <c r="BM16" s="46" t="s">
        <v>11</v>
      </c>
      <c r="BN16" s="46" t="s">
        <v>2</v>
      </c>
      <c r="BO16" s="30">
        <v>562.5</v>
      </c>
      <c r="BP16" s="30">
        <v>667</v>
      </c>
      <c r="BQ16" s="46" t="s">
        <v>11</v>
      </c>
      <c r="BR16" s="30">
        <f>Table13[[#This Row],[Inhaler carbon footprint per inhaler in v2.37 (gCO2e) ]]-Table13[[#This Row],[Inhaler carbon footprint per inhaler in v2.36 (gCO2e) ]]</f>
        <v>104.5</v>
      </c>
      <c r="BS16" s="30">
        <f>Table13[[#This Row],[Inhaler carbon footprint per inhaler in v2.37 (gCO2e) ]]-Table13[[#This Row],[Inhaler carbon footprint per inhaler in v2.36 (gCO2e) ]]</f>
        <v>104.5</v>
      </c>
    </row>
    <row r="17" spans="1:71" ht="62.45" customHeight="1" x14ac:dyDescent="0.25">
      <c r="A17" s="29" t="s">
        <v>1171</v>
      </c>
      <c r="B17" s="29" t="s">
        <v>37</v>
      </c>
      <c r="C17" s="29" t="s">
        <v>295</v>
      </c>
      <c r="D17" s="29" t="s">
        <v>12</v>
      </c>
      <c r="E17" s="29" t="s">
        <v>25</v>
      </c>
      <c r="F17" s="29" t="s">
        <v>3</v>
      </c>
      <c r="G17" s="29">
        <v>60</v>
      </c>
      <c r="H17" s="47">
        <v>36.049999999999997</v>
      </c>
      <c r="I17" s="47">
        <f t="shared" si="1"/>
        <v>0.60083333333333333</v>
      </c>
      <c r="J17" s="29" t="s">
        <v>26</v>
      </c>
      <c r="K17" s="29" t="s">
        <v>26</v>
      </c>
      <c r="L17" s="29" t="s">
        <v>2</v>
      </c>
      <c r="M17" s="46" t="s">
        <v>8</v>
      </c>
      <c r="N17" s="46" t="s">
        <v>2</v>
      </c>
      <c r="O17" s="46" t="s">
        <v>2</v>
      </c>
      <c r="P17" s="46" t="s">
        <v>706</v>
      </c>
      <c r="Q17" s="46" t="s">
        <v>700</v>
      </c>
      <c r="R17" s="46" t="s">
        <v>2</v>
      </c>
      <c r="S17" s="46" t="s">
        <v>2</v>
      </c>
      <c r="T17" s="46" t="s">
        <v>2</v>
      </c>
      <c r="U17" s="46" t="s">
        <v>2</v>
      </c>
      <c r="V17" s="46" t="s">
        <v>2</v>
      </c>
      <c r="W17" s="46" t="s">
        <v>2</v>
      </c>
      <c r="X17" s="46" t="s">
        <v>2</v>
      </c>
      <c r="Y17" s="46" t="s">
        <v>722</v>
      </c>
      <c r="Z17" s="29" t="s">
        <v>79</v>
      </c>
      <c r="AA17" s="29" t="s">
        <v>846</v>
      </c>
      <c r="AB17" s="29" t="s">
        <v>844</v>
      </c>
      <c r="AC17" s="29" t="s">
        <v>847</v>
      </c>
      <c r="AD17" s="30">
        <v>667</v>
      </c>
      <c r="AE17" s="46" t="s">
        <v>964</v>
      </c>
      <c r="AF17" s="46" t="s">
        <v>2</v>
      </c>
      <c r="AG17" s="46" t="s">
        <v>2</v>
      </c>
      <c r="AH17" s="46" t="s">
        <v>2</v>
      </c>
      <c r="AI17" s="46" t="s">
        <v>2</v>
      </c>
      <c r="AJ17" s="30" t="str">
        <f>IF(Table13[[#This Row],[Indicative carbon footprint /inhaler (gCO2e) 7,8]]&gt;1796,"High","Low")</f>
        <v>Low</v>
      </c>
      <c r="AK17" s="30" t="s">
        <v>46</v>
      </c>
      <c r="AL17" s="30" t="s">
        <v>46</v>
      </c>
      <c r="AM17" s="47" t="s">
        <v>1174</v>
      </c>
      <c r="AN17" s="29" t="s">
        <v>2</v>
      </c>
      <c r="AO17" s="29" t="s">
        <v>2</v>
      </c>
      <c r="AP17" s="29" t="s">
        <v>2</v>
      </c>
      <c r="AQ17" s="29" t="s">
        <v>2</v>
      </c>
      <c r="AR17" s="49" t="s">
        <v>40</v>
      </c>
      <c r="AS17" s="29" t="s">
        <v>34</v>
      </c>
      <c r="AT17" s="29" t="s">
        <v>46</v>
      </c>
      <c r="AU17" s="29" t="s">
        <v>46</v>
      </c>
      <c r="AV17" s="29" t="s">
        <v>46</v>
      </c>
      <c r="AW17" s="29" t="s">
        <v>46</v>
      </c>
      <c r="AX17" s="29" t="s">
        <v>46</v>
      </c>
      <c r="AY17" s="29" t="s">
        <v>46</v>
      </c>
      <c r="AZ17" s="29" t="s">
        <v>46</v>
      </c>
      <c r="BA17" s="29" t="s">
        <v>46</v>
      </c>
      <c r="BB17" s="29" t="s">
        <v>46</v>
      </c>
      <c r="BC17" s="29" t="s">
        <v>46</v>
      </c>
      <c r="BD17" s="29" t="s">
        <v>46</v>
      </c>
      <c r="BE17" s="29" t="s">
        <v>46</v>
      </c>
      <c r="BF17" s="29" t="s">
        <v>2</v>
      </c>
      <c r="BG17" s="29" t="s">
        <v>2</v>
      </c>
      <c r="BH17" s="29" t="s">
        <v>2</v>
      </c>
      <c r="BI17" s="29" t="s">
        <v>2</v>
      </c>
      <c r="BJ17" s="29" t="s">
        <v>2</v>
      </c>
      <c r="BK17" s="29" t="s">
        <v>2</v>
      </c>
      <c r="BL17" s="29"/>
      <c r="BM17" s="46" t="s">
        <v>11</v>
      </c>
      <c r="BN17" s="46" t="s">
        <v>2</v>
      </c>
      <c r="BO17" s="30">
        <v>1125</v>
      </c>
      <c r="BP17" s="30">
        <v>667</v>
      </c>
      <c r="BQ17" s="46" t="s">
        <v>11</v>
      </c>
      <c r="BR17" s="30">
        <f>Table13[[#This Row],[Inhaler carbon footprint per inhaler in v2.37 (gCO2e) ]]-Table13[[#This Row],[Inhaler carbon footprint per inhaler in v2.36 (gCO2e) ]]</f>
        <v>-458</v>
      </c>
      <c r="BS17" s="30">
        <f>Table13[[#This Row],[Inhaler carbon footprint per inhaler in v2.37 (gCO2e) ]]-Table13[[#This Row],[Inhaler carbon footprint per inhaler in v2.36 (gCO2e) ]]</f>
        <v>-458</v>
      </c>
    </row>
    <row r="18" spans="1:71" ht="62.45" customHeight="1" x14ac:dyDescent="0.25">
      <c r="A18" s="29" t="s">
        <v>1171</v>
      </c>
      <c r="B18" s="29" t="s">
        <v>37</v>
      </c>
      <c r="C18" s="29" t="s">
        <v>295</v>
      </c>
      <c r="D18" s="29" t="s">
        <v>12</v>
      </c>
      <c r="E18" s="29" t="s">
        <v>25</v>
      </c>
      <c r="F18" s="29" t="s">
        <v>3</v>
      </c>
      <c r="G18" s="29">
        <v>30</v>
      </c>
      <c r="H18" s="47">
        <v>21.78</v>
      </c>
      <c r="I18" s="47">
        <f t="shared" si="1"/>
        <v>0.72600000000000009</v>
      </c>
      <c r="J18" s="29" t="s">
        <v>26</v>
      </c>
      <c r="K18" s="29" t="s">
        <v>26</v>
      </c>
      <c r="L18" s="29" t="s">
        <v>2</v>
      </c>
      <c r="M18" s="46" t="s">
        <v>8</v>
      </c>
      <c r="N18" s="46" t="s">
        <v>2</v>
      </c>
      <c r="O18" s="46" t="s">
        <v>2</v>
      </c>
      <c r="P18" s="46" t="s">
        <v>706</v>
      </c>
      <c r="Q18" s="46" t="s">
        <v>700</v>
      </c>
      <c r="R18" s="46" t="s">
        <v>2</v>
      </c>
      <c r="S18" s="46" t="s">
        <v>2</v>
      </c>
      <c r="T18" s="46" t="s">
        <v>2</v>
      </c>
      <c r="U18" s="46" t="s">
        <v>2</v>
      </c>
      <c r="V18" s="46" t="s">
        <v>2</v>
      </c>
      <c r="W18" s="46" t="s">
        <v>2</v>
      </c>
      <c r="X18" s="46" t="s">
        <v>2</v>
      </c>
      <c r="Y18" s="46" t="s">
        <v>722</v>
      </c>
      <c r="Z18" s="29" t="s">
        <v>79</v>
      </c>
      <c r="AA18" s="29" t="s">
        <v>846</v>
      </c>
      <c r="AB18" s="29" t="s">
        <v>844</v>
      </c>
      <c r="AC18" s="29" t="s">
        <v>847</v>
      </c>
      <c r="AD18" s="30">
        <v>667</v>
      </c>
      <c r="AE18" s="46" t="s">
        <v>964</v>
      </c>
      <c r="AF18" s="46" t="s">
        <v>2</v>
      </c>
      <c r="AG18" s="46" t="s">
        <v>2</v>
      </c>
      <c r="AH18" s="46" t="s">
        <v>2</v>
      </c>
      <c r="AI18" s="46" t="s">
        <v>2</v>
      </c>
      <c r="AJ18" s="30" t="str">
        <f>IF(Table13[[#This Row],[Indicative carbon footprint /inhaler (gCO2e) 7,8]]&gt;1796,"High","Low")</f>
        <v>Low</v>
      </c>
      <c r="AK18" s="30" t="s">
        <v>46</v>
      </c>
      <c r="AL18" s="30" t="s">
        <v>46</v>
      </c>
      <c r="AM18" s="47" t="s">
        <v>1175</v>
      </c>
      <c r="AN18" s="29" t="s">
        <v>2</v>
      </c>
      <c r="AO18" s="29" t="s">
        <v>2</v>
      </c>
      <c r="AP18" s="29" t="s">
        <v>2</v>
      </c>
      <c r="AQ18" s="29" t="s">
        <v>2</v>
      </c>
      <c r="AR18" s="49" t="s">
        <v>41</v>
      </c>
      <c r="AS18" s="29" t="s">
        <v>34</v>
      </c>
      <c r="AT18" s="29" t="s">
        <v>46</v>
      </c>
      <c r="AU18" s="29" t="s">
        <v>46</v>
      </c>
      <c r="AV18" s="29" t="s">
        <v>46</v>
      </c>
      <c r="AW18" s="29" t="s">
        <v>46</v>
      </c>
      <c r="AX18" s="29" t="s">
        <v>46</v>
      </c>
      <c r="AY18" s="29" t="s">
        <v>46</v>
      </c>
      <c r="AZ18" s="29" t="s">
        <v>46</v>
      </c>
      <c r="BA18" s="29" t="s">
        <v>46</v>
      </c>
      <c r="BB18" s="29" t="s">
        <v>46</v>
      </c>
      <c r="BC18" s="29" t="s">
        <v>46</v>
      </c>
      <c r="BD18" s="29" t="s">
        <v>46</v>
      </c>
      <c r="BE18" s="29" t="s">
        <v>46</v>
      </c>
      <c r="BF18" s="29" t="s">
        <v>2</v>
      </c>
      <c r="BG18" s="29" t="s">
        <v>2</v>
      </c>
      <c r="BH18" s="29" t="s">
        <v>2</v>
      </c>
      <c r="BI18" s="29" t="s">
        <v>2</v>
      </c>
      <c r="BJ18" s="29" t="s">
        <v>2</v>
      </c>
      <c r="BK18" s="29" t="s">
        <v>2</v>
      </c>
      <c r="BL18" s="29"/>
      <c r="BM18" s="46" t="s">
        <v>11</v>
      </c>
      <c r="BN18" s="46" t="s">
        <v>2</v>
      </c>
      <c r="BO18" s="30">
        <v>562.5</v>
      </c>
      <c r="BP18" s="30">
        <v>667</v>
      </c>
      <c r="BQ18" s="46" t="s">
        <v>11</v>
      </c>
      <c r="BR18" s="30">
        <f>Table13[[#This Row],[Inhaler carbon footprint per inhaler in v2.37 (gCO2e) ]]-Table13[[#This Row],[Inhaler carbon footprint per inhaler in v2.36 (gCO2e) ]]</f>
        <v>104.5</v>
      </c>
      <c r="BS18" s="30">
        <f>Table13[[#This Row],[Inhaler carbon footprint per inhaler in v2.37 (gCO2e) ]]-Table13[[#This Row],[Inhaler carbon footprint per inhaler in v2.36 (gCO2e) ]]</f>
        <v>104.5</v>
      </c>
    </row>
    <row r="19" spans="1:71" ht="62.45" customHeight="1" x14ac:dyDescent="0.25">
      <c r="A19" s="29" t="s">
        <v>1157</v>
      </c>
      <c r="B19" s="29" t="s">
        <v>145</v>
      </c>
      <c r="C19" s="29" t="s">
        <v>1158</v>
      </c>
      <c r="D19" s="29" t="s">
        <v>17</v>
      </c>
      <c r="E19" s="29" t="s">
        <v>18</v>
      </c>
      <c r="F19" s="29" t="s">
        <v>13</v>
      </c>
      <c r="G19" s="29">
        <v>200</v>
      </c>
      <c r="H19" s="47">
        <v>1.5</v>
      </c>
      <c r="I19" s="47">
        <f t="shared" si="1"/>
        <v>7.4999999999999997E-3</v>
      </c>
      <c r="J19" s="29" t="s">
        <v>19</v>
      </c>
      <c r="K19" s="29" t="s">
        <v>76</v>
      </c>
      <c r="L19" s="29" t="s">
        <v>2</v>
      </c>
      <c r="M19" s="46" t="s">
        <v>8</v>
      </c>
      <c r="N19" s="46" t="s">
        <v>2</v>
      </c>
      <c r="O19" s="46" t="s">
        <v>2</v>
      </c>
      <c r="P19" s="46" t="s">
        <v>2</v>
      </c>
      <c r="Q19" s="46" t="s">
        <v>2</v>
      </c>
      <c r="R19" s="46" t="s">
        <v>2</v>
      </c>
      <c r="S19" s="46" t="s">
        <v>2</v>
      </c>
      <c r="T19" s="46" t="s">
        <v>2</v>
      </c>
      <c r="U19" s="46" t="s">
        <v>2</v>
      </c>
      <c r="V19" s="46" t="s">
        <v>2</v>
      </c>
      <c r="W19" s="46" t="s">
        <v>2</v>
      </c>
      <c r="X19" s="46" t="s">
        <v>2</v>
      </c>
      <c r="Y19" s="46" t="s">
        <v>2</v>
      </c>
      <c r="Z19" s="29" t="s">
        <v>8</v>
      </c>
      <c r="AA19" s="29" t="s">
        <v>714</v>
      </c>
      <c r="AB19" s="29" t="s">
        <v>714</v>
      </c>
      <c r="AC19" s="29" t="s">
        <v>1159</v>
      </c>
      <c r="AD19" s="29">
        <f>1430*17.8</f>
        <v>25454</v>
      </c>
      <c r="AE19" s="71" t="s">
        <v>530</v>
      </c>
      <c r="AF19" s="46" t="s">
        <v>46</v>
      </c>
      <c r="AG19" s="46" t="s">
        <v>46</v>
      </c>
      <c r="AH19" s="46" t="s">
        <v>46</v>
      </c>
      <c r="AI19" s="46" t="s">
        <v>46</v>
      </c>
      <c r="AJ19" s="30" t="str">
        <f>IF(Table13[[#This Row],[Indicative carbon footprint /inhaler (gCO2e) 7,8]]&gt;1796,"High","Low")</f>
        <v>High</v>
      </c>
      <c r="AK19" s="30" t="s">
        <v>46</v>
      </c>
      <c r="AL19" s="30" t="s">
        <v>46</v>
      </c>
      <c r="AM19" s="51"/>
      <c r="AN19" s="48" t="s">
        <v>177</v>
      </c>
      <c r="AO19" s="29">
        <v>17.8</v>
      </c>
      <c r="AP19" s="29">
        <v>2.5000000000000001E-2</v>
      </c>
      <c r="AQ19" s="29">
        <f>1430*17.8</f>
        <v>25454</v>
      </c>
      <c r="AR19" s="49" t="s">
        <v>1160</v>
      </c>
      <c r="AS19" s="29" t="s">
        <v>34</v>
      </c>
      <c r="AT19" s="29" t="s">
        <v>1161</v>
      </c>
      <c r="AU19" s="29" t="s">
        <v>46</v>
      </c>
      <c r="AV19" s="29" t="s">
        <v>46</v>
      </c>
      <c r="AW19" s="29" t="s">
        <v>46</v>
      </c>
      <c r="AX19" s="29" t="s">
        <v>46</v>
      </c>
      <c r="AY19" s="29" t="s">
        <v>46</v>
      </c>
      <c r="AZ19" s="29" t="s">
        <v>46</v>
      </c>
      <c r="BA19" s="29" t="s">
        <v>46</v>
      </c>
      <c r="BB19" s="29" t="s">
        <v>46</v>
      </c>
      <c r="BC19" s="29" t="s">
        <v>46</v>
      </c>
      <c r="BD19" s="29" t="s">
        <v>46</v>
      </c>
      <c r="BE19" s="29" t="s">
        <v>46</v>
      </c>
      <c r="BF19" s="29" t="s">
        <v>46</v>
      </c>
      <c r="BG19" s="29" t="s">
        <v>46</v>
      </c>
      <c r="BH19" s="29" t="s">
        <v>46</v>
      </c>
      <c r="BI19" s="29" t="s">
        <v>46</v>
      </c>
      <c r="BJ19" s="29" t="s">
        <v>46</v>
      </c>
      <c r="BK19" s="29" t="s">
        <v>46</v>
      </c>
      <c r="BL19" s="29" t="s">
        <v>46</v>
      </c>
      <c r="BM19" s="46" t="s">
        <v>843</v>
      </c>
      <c r="BN19" s="46" t="s">
        <v>1162</v>
      </c>
      <c r="BO19" s="46" t="s">
        <v>1162</v>
      </c>
      <c r="BP19" s="46" t="s">
        <v>1162</v>
      </c>
      <c r="BQ19" s="46" t="s">
        <v>1162</v>
      </c>
      <c r="BR19" s="46" t="s">
        <v>1162</v>
      </c>
      <c r="BS19" s="46" t="s">
        <v>1162</v>
      </c>
    </row>
    <row r="20" spans="1:71" ht="59.45" customHeight="1" x14ac:dyDescent="0.25">
      <c r="A20" s="69" t="s">
        <v>296</v>
      </c>
      <c r="B20" s="69" t="s">
        <v>43</v>
      </c>
      <c r="C20" s="69" t="s">
        <v>297</v>
      </c>
      <c r="D20" s="69" t="s">
        <v>5</v>
      </c>
      <c r="E20" s="69" t="s">
        <v>44</v>
      </c>
      <c r="F20" s="69" t="s">
        <v>13</v>
      </c>
      <c r="G20" s="69">
        <v>100</v>
      </c>
      <c r="H20" s="70">
        <v>30.06</v>
      </c>
      <c r="I20" s="70">
        <f t="shared" si="1"/>
        <v>0.30059999999999998</v>
      </c>
      <c r="J20" s="69" t="s">
        <v>26</v>
      </c>
      <c r="K20" s="69" t="s">
        <v>26</v>
      </c>
      <c r="L20" s="69" t="s">
        <v>2</v>
      </c>
      <c r="M20" s="75" t="s">
        <v>8</v>
      </c>
      <c r="N20" s="75" t="s">
        <v>2</v>
      </c>
      <c r="O20" s="75" t="s">
        <v>2</v>
      </c>
      <c r="P20" s="75" t="s">
        <v>2</v>
      </c>
      <c r="Q20" s="75" t="s">
        <v>2</v>
      </c>
      <c r="R20" s="75" t="s">
        <v>2</v>
      </c>
      <c r="S20" s="75" t="s">
        <v>2</v>
      </c>
      <c r="T20" s="75" t="s">
        <v>2</v>
      </c>
      <c r="U20" s="75" t="s">
        <v>2</v>
      </c>
      <c r="V20" s="75" t="s">
        <v>2</v>
      </c>
      <c r="W20" s="75" t="s">
        <v>2</v>
      </c>
      <c r="X20" s="75" t="s">
        <v>2</v>
      </c>
      <c r="Y20" s="75" t="s">
        <v>2</v>
      </c>
      <c r="Z20" s="69" t="s">
        <v>8</v>
      </c>
      <c r="AA20" s="69" t="s">
        <v>807</v>
      </c>
      <c r="AB20" s="69" t="s">
        <v>806</v>
      </c>
      <c r="AC20" s="69" t="s">
        <v>808</v>
      </c>
      <c r="AD20" s="72">
        <f>Table13[[#This Row],[Carbon footprint per inhaler attributed to propellant PrescQIPP calculated as gCO2e (from PIL or as assigned in the methodology)11-13]]</f>
        <v>12994.41</v>
      </c>
      <c r="AE20" s="75" t="s">
        <v>530</v>
      </c>
      <c r="AF20" s="75" t="s">
        <v>11</v>
      </c>
      <c r="AG20" s="75" t="s">
        <v>46</v>
      </c>
      <c r="AH20" s="75" t="s">
        <v>46</v>
      </c>
      <c r="AI20" s="75" t="s">
        <v>46</v>
      </c>
      <c r="AJ20" s="72" t="str">
        <f>IF(Table13[[#This Row],[Indicative carbon footprint /inhaler (gCO2e) 7,8]]&gt;1796,"High","Low")</f>
        <v>High</v>
      </c>
      <c r="AK20" s="72" t="s">
        <v>587</v>
      </c>
      <c r="AL20" s="93" t="s">
        <v>1081</v>
      </c>
      <c r="AM20" s="70"/>
      <c r="AN20" s="69" t="s">
        <v>177</v>
      </c>
      <c r="AO20" s="69">
        <v>9.0869999999999997</v>
      </c>
      <c r="AP20" s="69">
        <v>1.2999999999999999E-2</v>
      </c>
      <c r="AQ20" s="72">
        <f>1430*Table13[[#This Row],[Amount of propellant per inhaler (from PIL) (g)12-13]]</f>
        <v>12994.41</v>
      </c>
      <c r="AR20" s="74" t="s">
        <v>45</v>
      </c>
      <c r="AS20" s="69" t="s">
        <v>34</v>
      </c>
      <c r="AT20" s="69" t="s">
        <v>46</v>
      </c>
      <c r="AU20" s="69" t="s">
        <v>46</v>
      </c>
      <c r="AV20" s="69" t="s">
        <v>46</v>
      </c>
      <c r="AW20" s="69" t="s">
        <v>46</v>
      </c>
      <c r="AX20" s="69" t="s">
        <v>46</v>
      </c>
      <c r="AY20" s="69" t="s">
        <v>46</v>
      </c>
      <c r="AZ20" s="69" t="s">
        <v>46</v>
      </c>
      <c r="BA20" s="69" t="s">
        <v>46</v>
      </c>
      <c r="BB20" s="69" t="s">
        <v>46</v>
      </c>
      <c r="BC20" s="69" t="s">
        <v>46</v>
      </c>
      <c r="BD20" s="69" t="s">
        <v>46</v>
      </c>
      <c r="BE20" s="69" t="s">
        <v>46</v>
      </c>
      <c r="BF20" s="69" t="s">
        <v>46</v>
      </c>
      <c r="BG20" s="69" t="s">
        <v>46</v>
      </c>
      <c r="BH20" s="69" t="s">
        <v>46</v>
      </c>
      <c r="BI20" s="69" t="s">
        <v>46</v>
      </c>
      <c r="BJ20" s="69" t="s">
        <v>46</v>
      </c>
      <c r="BK20" s="69" t="s">
        <v>46</v>
      </c>
      <c r="BL20" s="69" t="s">
        <v>810</v>
      </c>
      <c r="BM20" s="75" t="s">
        <v>11</v>
      </c>
      <c r="BN20" s="75" t="s">
        <v>878</v>
      </c>
      <c r="BO20" s="72">
        <v>13000</v>
      </c>
      <c r="BP20" s="72">
        <v>12994.41</v>
      </c>
      <c r="BQ20" s="75" t="s">
        <v>11</v>
      </c>
      <c r="BR20" s="72">
        <f>Table13[[#This Row],[Inhaler carbon footprint per inhaler in v2.37 (gCO2e) ]]-Table13[[#This Row],[Inhaler carbon footprint per inhaler in v2.36 (gCO2e) ]]</f>
        <v>-5.5900000000001455</v>
      </c>
      <c r="BS20" s="72">
        <f>Table13[[#This Row],[Inhaler carbon footprint per inhaler in v2.37 (gCO2e) ]]-Table13[[#This Row],[Inhaler carbon footprint per inhaler in v2.36 (gCO2e) ]]</f>
        <v>-5.5900000000001455</v>
      </c>
    </row>
    <row r="21" spans="1:71" ht="53.45" customHeight="1" x14ac:dyDescent="0.25">
      <c r="A21" s="69" t="s">
        <v>298</v>
      </c>
      <c r="B21" s="69" t="s">
        <v>47</v>
      </c>
      <c r="C21" s="69" t="s">
        <v>299</v>
      </c>
      <c r="D21" s="69" t="s">
        <v>5</v>
      </c>
      <c r="E21" s="69" t="s">
        <v>48</v>
      </c>
      <c r="F21" s="69" t="s">
        <v>13</v>
      </c>
      <c r="G21" s="69">
        <v>200</v>
      </c>
      <c r="H21" s="70">
        <v>5.56</v>
      </c>
      <c r="I21" s="70">
        <f t="shared" si="1"/>
        <v>2.7799999999999998E-2</v>
      </c>
      <c r="J21" s="69" t="s">
        <v>49</v>
      </c>
      <c r="K21" s="69" t="s">
        <v>50</v>
      </c>
      <c r="L21" s="69" t="s">
        <v>2</v>
      </c>
      <c r="M21" s="75" t="s">
        <v>8</v>
      </c>
      <c r="N21" s="75" t="s">
        <v>2</v>
      </c>
      <c r="O21" s="75" t="s">
        <v>2</v>
      </c>
      <c r="P21" s="75" t="s">
        <v>2</v>
      </c>
      <c r="Q21" s="75" t="s">
        <v>2</v>
      </c>
      <c r="R21" s="75" t="s">
        <v>2</v>
      </c>
      <c r="S21" s="75" t="s">
        <v>2</v>
      </c>
      <c r="T21" s="75" t="s">
        <v>2</v>
      </c>
      <c r="U21" s="75" t="s">
        <v>2</v>
      </c>
      <c r="V21" s="75" t="s">
        <v>2</v>
      </c>
      <c r="W21" s="75" t="s">
        <v>2</v>
      </c>
      <c r="X21" s="75" t="s">
        <v>2</v>
      </c>
      <c r="Y21" s="75" t="s">
        <v>2</v>
      </c>
      <c r="Z21" s="69" t="s">
        <v>8</v>
      </c>
      <c r="AA21" s="69" t="s">
        <v>724</v>
      </c>
      <c r="AB21" s="69" t="s">
        <v>724</v>
      </c>
      <c r="AC21" s="69" t="s">
        <v>888</v>
      </c>
      <c r="AD21" s="72">
        <f>Table13[[#This Row],[Carbon footprint per inhaler attributed to propellant PrescQIPP calculated as gCO2e (from PIL or as assigned in the methodology)11-13]]</f>
        <v>17631.900000000001</v>
      </c>
      <c r="AE21" s="75" t="s">
        <v>530</v>
      </c>
      <c r="AF21" s="75" t="s">
        <v>34</v>
      </c>
      <c r="AG21" s="75" t="s">
        <v>809</v>
      </c>
      <c r="AH21" s="75" t="s">
        <v>34</v>
      </c>
      <c r="AI21" s="75" t="s">
        <v>809</v>
      </c>
      <c r="AJ21" s="72" t="str">
        <f>IF(Table13[[#This Row],[Indicative carbon footprint /inhaler (gCO2e) 7,8]]&gt;1796,"High","Low")</f>
        <v>High</v>
      </c>
      <c r="AK21" s="72" t="s">
        <v>34</v>
      </c>
      <c r="AL21" s="72" t="s">
        <v>46</v>
      </c>
      <c r="AM21" s="69" t="s">
        <v>1080</v>
      </c>
      <c r="AN21" s="69" t="s">
        <v>177</v>
      </c>
      <c r="AO21" s="69">
        <v>12.33</v>
      </c>
      <c r="AP21" s="69">
        <v>1.763E-2</v>
      </c>
      <c r="AQ21" s="72">
        <f>1430*Table13[[#This Row],[Amount of propellant per inhaler (from PIL) (g)12-13]]</f>
        <v>17631.900000000001</v>
      </c>
      <c r="AR21" s="74" t="s">
        <v>551</v>
      </c>
      <c r="AS21" s="69" t="s">
        <v>34</v>
      </c>
      <c r="AT21" s="69" t="s">
        <v>51</v>
      </c>
      <c r="AU21" s="69" t="s">
        <v>46</v>
      </c>
      <c r="AV21" s="69" t="s">
        <v>46</v>
      </c>
      <c r="AW21" s="69" t="s">
        <v>46</v>
      </c>
      <c r="AX21" s="69" t="s">
        <v>46</v>
      </c>
      <c r="AY21" s="69" t="s">
        <v>46</v>
      </c>
      <c r="AZ21" s="69" t="s">
        <v>46</v>
      </c>
      <c r="BA21" s="69" t="s">
        <v>46</v>
      </c>
      <c r="BB21" s="69" t="s">
        <v>46</v>
      </c>
      <c r="BC21" s="69" t="s">
        <v>46</v>
      </c>
      <c r="BD21" s="69" t="s">
        <v>46</v>
      </c>
      <c r="BE21" s="69" t="s">
        <v>46</v>
      </c>
      <c r="BF21" s="69" t="s">
        <v>46</v>
      </c>
      <c r="BG21" s="69" t="s">
        <v>46</v>
      </c>
      <c r="BH21" s="69" t="s">
        <v>46</v>
      </c>
      <c r="BI21" s="69" t="s">
        <v>46</v>
      </c>
      <c r="BJ21" s="69" t="s">
        <v>46</v>
      </c>
      <c r="BK21" s="69" t="s">
        <v>46</v>
      </c>
      <c r="BL21" s="69" t="s">
        <v>46</v>
      </c>
      <c r="BM21" s="75" t="s">
        <v>843</v>
      </c>
      <c r="BN21" s="75" t="s">
        <v>877</v>
      </c>
      <c r="BO21" s="72">
        <v>14590</v>
      </c>
      <c r="BP21" s="72">
        <v>17631.900000000001</v>
      </c>
      <c r="BQ21" s="75" t="s">
        <v>11</v>
      </c>
      <c r="BR21" s="72">
        <f>Table13[[#This Row],[Inhaler carbon footprint per inhaler in v2.37 (gCO2e) ]]-Table13[[#This Row],[Inhaler carbon footprint per inhaler in v2.36 (gCO2e) ]]</f>
        <v>3041.9000000000015</v>
      </c>
      <c r="BS21" s="72">
        <f>Table13[[#This Row],[Inhaler carbon footprint per inhaler in v2.37 (gCO2e) ]]-Table13[[#This Row],[Inhaler carbon footprint per inhaler in v2.36 (gCO2e) ]]</f>
        <v>3041.9000000000015</v>
      </c>
    </row>
    <row r="22" spans="1:71" ht="66" customHeight="1" x14ac:dyDescent="0.25">
      <c r="A22" s="69" t="s">
        <v>593</v>
      </c>
      <c r="B22" s="69" t="s">
        <v>592</v>
      </c>
      <c r="C22" s="69" t="s">
        <v>749</v>
      </c>
      <c r="D22" s="69" t="s">
        <v>12</v>
      </c>
      <c r="E22" s="69" t="s">
        <v>6</v>
      </c>
      <c r="F22" s="69" t="s">
        <v>13</v>
      </c>
      <c r="G22" s="69">
        <v>120</v>
      </c>
      <c r="H22" s="70">
        <v>10.33</v>
      </c>
      <c r="I22" s="70">
        <f t="shared" si="1"/>
        <v>8.6083333333333331E-2</v>
      </c>
      <c r="J22" s="69" t="s">
        <v>26</v>
      </c>
      <c r="K22" s="69" t="s">
        <v>26</v>
      </c>
      <c r="L22" s="69" t="s">
        <v>8</v>
      </c>
      <c r="M22" s="69" t="s">
        <v>8</v>
      </c>
      <c r="N22" s="69" t="s">
        <v>2</v>
      </c>
      <c r="O22" s="69" t="s">
        <v>2</v>
      </c>
      <c r="P22" s="69" t="s">
        <v>2</v>
      </c>
      <c r="Q22" s="75" t="s">
        <v>2</v>
      </c>
      <c r="R22" s="69" t="s">
        <v>2</v>
      </c>
      <c r="S22" s="69" t="s">
        <v>699</v>
      </c>
      <c r="T22" s="69" t="s">
        <v>2</v>
      </c>
      <c r="U22" s="75" t="s">
        <v>2</v>
      </c>
      <c r="V22" s="75" t="s">
        <v>2</v>
      </c>
      <c r="W22" s="75" t="s">
        <v>2</v>
      </c>
      <c r="X22" s="75" t="s">
        <v>2</v>
      </c>
      <c r="Y22" s="75" t="s">
        <v>720</v>
      </c>
      <c r="Z22" s="69" t="s">
        <v>8</v>
      </c>
      <c r="AA22" s="69" t="s">
        <v>714</v>
      </c>
      <c r="AB22" s="69" t="s">
        <v>714</v>
      </c>
      <c r="AC22" s="69" t="s">
        <v>941</v>
      </c>
      <c r="AD22" s="72">
        <f>Table13[[#This Row],[Carbon footprint per inhaler attributed to propellant PrescQIPP calculated as gCO2e (from PIL or as assigned in the methodology)11-13]]</f>
        <v>17160</v>
      </c>
      <c r="AE22" s="75" t="s">
        <v>1069</v>
      </c>
      <c r="AF22" s="75" t="s">
        <v>46</v>
      </c>
      <c r="AG22" s="75" t="s">
        <v>46</v>
      </c>
      <c r="AH22" s="75" t="s">
        <v>46</v>
      </c>
      <c r="AI22" s="75" t="s">
        <v>46</v>
      </c>
      <c r="AJ22" s="72" t="str">
        <f>IF(Table13[[#This Row],[Indicative carbon footprint /inhaler (gCO2e) 7,8]]&gt;1796,"High","Low")</f>
        <v>High</v>
      </c>
      <c r="AK22" s="75" t="s">
        <v>46</v>
      </c>
      <c r="AL22" s="75" t="s">
        <v>46</v>
      </c>
      <c r="AM22" s="70" t="s">
        <v>1069</v>
      </c>
      <c r="AN22" s="69" t="s">
        <v>177</v>
      </c>
      <c r="AO22" s="90" t="s">
        <v>46</v>
      </c>
      <c r="AP22" s="69" t="s">
        <v>46</v>
      </c>
      <c r="AQ22" s="91">
        <v>17160</v>
      </c>
      <c r="AR22" s="74" t="s">
        <v>596</v>
      </c>
      <c r="AS22" s="69" t="s">
        <v>34</v>
      </c>
      <c r="AT22" s="69" t="s">
        <v>46</v>
      </c>
      <c r="AU22" s="69" t="s">
        <v>46</v>
      </c>
      <c r="AV22" s="69" t="s">
        <v>46</v>
      </c>
      <c r="AW22" s="69" t="s">
        <v>46</v>
      </c>
      <c r="AX22" s="69" t="s">
        <v>46</v>
      </c>
      <c r="AY22" s="69" t="s">
        <v>46</v>
      </c>
      <c r="AZ22" s="69" t="s">
        <v>46</v>
      </c>
      <c r="BA22" s="69" t="s">
        <v>46</v>
      </c>
      <c r="BB22" s="69" t="s">
        <v>46</v>
      </c>
      <c r="BC22" s="69" t="s">
        <v>46</v>
      </c>
      <c r="BD22" s="69" t="s">
        <v>46</v>
      </c>
      <c r="BE22" s="69" t="s">
        <v>46</v>
      </c>
      <c r="BF22" s="69" t="s">
        <v>46</v>
      </c>
      <c r="BG22" s="69" t="s">
        <v>46</v>
      </c>
      <c r="BH22" s="69" t="s">
        <v>46</v>
      </c>
      <c r="BI22" s="69" t="s">
        <v>46</v>
      </c>
      <c r="BJ22" s="69" t="s">
        <v>46</v>
      </c>
      <c r="BK22" s="69" t="s">
        <v>46</v>
      </c>
      <c r="BL22" s="69" t="s">
        <v>46</v>
      </c>
      <c r="BM22" s="75" t="s">
        <v>843</v>
      </c>
      <c r="BN22" s="75" t="s">
        <v>1068</v>
      </c>
      <c r="BO22" s="72">
        <v>19620</v>
      </c>
      <c r="BP22" s="72">
        <v>17160</v>
      </c>
      <c r="BQ22" s="75" t="s">
        <v>11</v>
      </c>
      <c r="BR22" s="72">
        <f>Table13[[#This Row],[Inhaler carbon footprint per inhaler in v2.37 (gCO2e) ]]-Table13[[#This Row],[Inhaler carbon footprint per inhaler in v2.36 (gCO2e) ]]</f>
        <v>-2460</v>
      </c>
      <c r="BS22" s="72" t="s">
        <v>1010</v>
      </c>
    </row>
    <row r="23" spans="1:71" ht="66" customHeight="1" x14ac:dyDescent="0.25">
      <c r="A23" s="69" t="s">
        <v>594</v>
      </c>
      <c r="B23" s="69" t="s">
        <v>592</v>
      </c>
      <c r="C23" s="69" t="s">
        <v>750</v>
      </c>
      <c r="D23" s="69" t="s">
        <v>12</v>
      </c>
      <c r="E23" s="69" t="s">
        <v>6</v>
      </c>
      <c r="F23" s="69" t="s">
        <v>13</v>
      </c>
      <c r="G23" s="69">
        <v>120</v>
      </c>
      <c r="H23" s="70">
        <v>13.66</v>
      </c>
      <c r="I23" s="70">
        <f t="shared" si="1"/>
        <v>0.11383333333333333</v>
      </c>
      <c r="J23" s="69" t="s">
        <v>26</v>
      </c>
      <c r="K23" s="69" t="s">
        <v>26</v>
      </c>
      <c r="L23" s="69" t="s">
        <v>8</v>
      </c>
      <c r="M23" s="69" t="s">
        <v>8</v>
      </c>
      <c r="N23" s="69" t="s">
        <v>2</v>
      </c>
      <c r="O23" s="69" t="s">
        <v>2</v>
      </c>
      <c r="P23" s="69" t="s">
        <v>2</v>
      </c>
      <c r="Q23" s="75" t="s">
        <v>2</v>
      </c>
      <c r="R23" s="69" t="s">
        <v>2</v>
      </c>
      <c r="S23" s="69" t="s">
        <v>2</v>
      </c>
      <c r="T23" s="69" t="s">
        <v>699</v>
      </c>
      <c r="U23" s="75" t="s">
        <v>2</v>
      </c>
      <c r="V23" s="75" t="s">
        <v>2</v>
      </c>
      <c r="W23" s="75" t="s">
        <v>2</v>
      </c>
      <c r="X23" s="75" t="s">
        <v>2</v>
      </c>
      <c r="Y23" s="75" t="s">
        <v>720</v>
      </c>
      <c r="Z23" s="69" t="s">
        <v>8</v>
      </c>
      <c r="AA23" s="69" t="s">
        <v>714</v>
      </c>
      <c r="AB23" s="69" t="s">
        <v>714</v>
      </c>
      <c r="AC23" s="69" t="s">
        <v>941</v>
      </c>
      <c r="AD23" s="72">
        <f>Table13[[#This Row],[Carbon footprint per inhaler attributed to propellant PrescQIPP calculated as gCO2e (from PIL or as assigned in the methodology)11-13]]</f>
        <v>17160</v>
      </c>
      <c r="AE23" s="75" t="s">
        <v>1069</v>
      </c>
      <c r="AF23" s="75" t="s">
        <v>46</v>
      </c>
      <c r="AG23" s="75" t="s">
        <v>46</v>
      </c>
      <c r="AH23" s="75" t="s">
        <v>46</v>
      </c>
      <c r="AI23" s="75" t="s">
        <v>46</v>
      </c>
      <c r="AJ23" s="72" t="str">
        <f>IF(Table13[[#This Row],[Indicative carbon footprint /inhaler (gCO2e) 7,8]]&gt;1796,"High","Low")</f>
        <v>High</v>
      </c>
      <c r="AK23" s="75" t="s">
        <v>46</v>
      </c>
      <c r="AL23" s="75" t="s">
        <v>46</v>
      </c>
      <c r="AM23" s="70" t="s">
        <v>258</v>
      </c>
      <c r="AN23" s="69" t="s">
        <v>177</v>
      </c>
      <c r="AO23" s="90" t="s">
        <v>46</v>
      </c>
      <c r="AP23" s="69" t="s">
        <v>46</v>
      </c>
      <c r="AQ23" s="72">
        <v>17160</v>
      </c>
      <c r="AR23" s="74" t="s">
        <v>597</v>
      </c>
      <c r="AS23" s="69" t="s">
        <v>34</v>
      </c>
      <c r="AT23" s="69" t="s">
        <v>46</v>
      </c>
      <c r="AU23" s="69" t="s">
        <v>46</v>
      </c>
      <c r="AV23" s="69" t="s">
        <v>46</v>
      </c>
      <c r="AW23" s="69" t="s">
        <v>46</v>
      </c>
      <c r="AX23" s="69" t="s">
        <v>46</v>
      </c>
      <c r="AY23" s="69" t="s">
        <v>46</v>
      </c>
      <c r="AZ23" s="69" t="s">
        <v>46</v>
      </c>
      <c r="BA23" s="69" t="s">
        <v>46</v>
      </c>
      <c r="BB23" s="69" t="s">
        <v>46</v>
      </c>
      <c r="BC23" s="69" t="s">
        <v>46</v>
      </c>
      <c r="BD23" s="69" t="s">
        <v>46</v>
      </c>
      <c r="BE23" s="69" t="s">
        <v>46</v>
      </c>
      <c r="BF23" s="69" t="s">
        <v>46</v>
      </c>
      <c r="BG23" s="69" t="s">
        <v>46</v>
      </c>
      <c r="BH23" s="69" t="s">
        <v>46</v>
      </c>
      <c r="BI23" s="69" t="s">
        <v>46</v>
      </c>
      <c r="BJ23" s="69" t="s">
        <v>46</v>
      </c>
      <c r="BK23" s="69" t="s">
        <v>46</v>
      </c>
      <c r="BL23" s="69" t="s">
        <v>46</v>
      </c>
      <c r="BM23" s="75" t="s">
        <v>843</v>
      </c>
      <c r="BN23" s="75" t="s">
        <v>1068</v>
      </c>
      <c r="BO23" s="72">
        <v>19620</v>
      </c>
      <c r="BP23" s="72">
        <v>17160</v>
      </c>
      <c r="BQ23" s="75" t="s">
        <v>11</v>
      </c>
      <c r="BR23" s="72">
        <f>Table13[[#This Row],[Inhaler carbon footprint per inhaler in v2.37 (gCO2e) ]]-Table13[[#This Row],[Inhaler carbon footprint per inhaler in v2.36 (gCO2e) ]]</f>
        <v>-2460</v>
      </c>
      <c r="BS23" s="72" t="s">
        <v>1010</v>
      </c>
    </row>
    <row r="24" spans="1:71" ht="58.5" customHeight="1" x14ac:dyDescent="0.25">
      <c r="A24" s="69" t="s">
        <v>591</v>
      </c>
      <c r="B24" s="69" t="s">
        <v>592</v>
      </c>
      <c r="C24" s="69" t="s">
        <v>751</v>
      </c>
      <c r="D24" s="69" t="s">
        <v>12</v>
      </c>
      <c r="E24" s="69" t="s">
        <v>6</v>
      </c>
      <c r="F24" s="69" t="s">
        <v>13</v>
      </c>
      <c r="G24" s="69">
        <v>120</v>
      </c>
      <c r="H24" s="70">
        <v>12.99</v>
      </c>
      <c r="I24" s="70">
        <f t="shared" si="1"/>
        <v>0.10825</v>
      </c>
      <c r="J24" s="69" t="s">
        <v>19</v>
      </c>
      <c r="K24" s="69" t="s">
        <v>19</v>
      </c>
      <c r="L24" s="69" t="s">
        <v>8</v>
      </c>
      <c r="M24" s="69" t="s">
        <v>8</v>
      </c>
      <c r="N24" s="69" t="s">
        <v>2</v>
      </c>
      <c r="O24" s="69" t="s">
        <v>2</v>
      </c>
      <c r="P24" s="69" t="s">
        <v>2</v>
      </c>
      <c r="Q24" s="75" t="s">
        <v>2</v>
      </c>
      <c r="R24" s="69" t="s">
        <v>699</v>
      </c>
      <c r="S24" s="69" t="s">
        <v>2</v>
      </c>
      <c r="T24" s="69" t="s">
        <v>2</v>
      </c>
      <c r="U24" s="75" t="s">
        <v>2</v>
      </c>
      <c r="V24" s="75" t="s">
        <v>2</v>
      </c>
      <c r="W24" s="75" t="s">
        <v>2</v>
      </c>
      <c r="X24" s="75" t="s">
        <v>2</v>
      </c>
      <c r="Y24" s="75" t="s">
        <v>720</v>
      </c>
      <c r="Z24" s="69" t="s">
        <v>8</v>
      </c>
      <c r="AA24" s="69" t="s">
        <v>714</v>
      </c>
      <c r="AB24" s="69" t="s">
        <v>714</v>
      </c>
      <c r="AC24" s="69" t="s">
        <v>941</v>
      </c>
      <c r="AD24" s="72">
        <f>AD118</f>
        <v>17160</v>
      </c>
      <c r="AE24" s="75" t="s">
        <v>1071</v>
      </c>
      <c r="AF24" s="75" t="s">
        <v>46</v>
      </c>
      <c r="AG24" s="75" t="s">
        <v>46</v>
      </c>
      <c r="AH24" s="75" t="s">
        <v>46</v>
      </c>
      <c r="AI24" s="75" t="s">
        <v>46</v>
      </c>
      <c r="AJ24" s="72" t="str">
        <f>IF(Table13[[#This Row],[Indicative carbon footprint /inhaler (gCO2e) 7,8]]&gt;1796,"High","Low")</f>
        <v>High</v>
      </c>
      <c r="AK24" s="75" t="s">
        <v>46</v>
      </c>
      <c r="AL24" s="75" t="s">
        <v>46</v>
      </c>
      <c r="AM24" s="70" t="s">
        <v>1071</v>
      </c>
      <c r="AN24" s="69" t="s">
        <v>177</v>
      </c>
      <c r="AO24" s="90" t="s">
        <v>46</v>
      </c>
      <c r="AP24" s="69" t="s">
        <v>46</v>
      </c>
      <c r="AQ24" s="91">
        <v>17160</v>
      </c>
      <c r="AR24" s="74" t="s">
        <v>595</v>
      </c>
      <c r="AS24" s="69" t="s">
        <v>34</v>
      </c>
      <c r="AT24" s="69" t="s">
        <v>46</v>
      </c>
      <c r="AU24" s="69" t="s">
        <v>46</v>
      </c>
      <c r="AV24" s="69" t="s">
        <v>46</v>
      </c>
      <c r="AW24" s="69" t="s">
        <v>46</v>
      </c>
      <c r="AX24" s="69" t="s">
        <v>46</v>
      </c>
      <c r="AY24" s="69" t="s">
        <v>46</v>
      </c>
      <c r="AZ24" s="69" t="s">
        <v>46</v>
      </c>
      <c r="BA24" s="69" t="s">
        <v>46</v>
      </c>
      <c r="BB24" s="69" t="s">
        <v>46</v>
      </c>
      <c r="BC24" s="69" t="s">
        <v>46</v>
      </c>
      <c r="BD24" s="69" t="s">
        <v>46</v>
      </c>
      <c r="BE24" s="69" t="s">
        <v>46</v>
      </c>
      <c r="BF24" s="69" t="s">
        <v>46</v>
      </c>
      <c r="BG24" s="69" t="s">
        <v>46</v>
      </c>
      <c r="BH24" s="69" t="s">
        <v>46</v>
      </c>
      <c r="BI24" s="69" t="s">
        <v>46</v>
      </c>
      <c r="BJ24" s="69" t="s">
        <v>46</v>
      </c>
      <c r="BK24" s="69" t="s">
        <v>46</v>
      </c>
      <c r="BL24" s="69" t="s">
        <v>46</v>
      </c>
      <c r="BM24" s="75" t="s">
        <v>843</v>
      </c>
      <c r="BN24" s="75" t="s">
        <v>1068</v>
      </c>
      <c r="BO24" s="72">
        <v>19620</v>
      </c>
      <c r="BP24" s="72">
        <v>17060</v>
      </c>
      <c r="BQ24" s="75" t="s">
        <v>11</v>
      </c>
      <c r="BR24" s="72">
        <f>Table13[[#This Row],[Inhaler carbon footprint per inhaler in v2.37 (gCO2e) ]]-Table13[[#This Row],[Inhaler carbon footprint per inhaler in v2.36 (gCO2e) ]]</f>
        <v>-2560</v>
      </c>
      <c r="BS24" s="72" t="s">
        <v>1010</v>
      </c>
    </row>
    <row r="25" spans="1:71" ht="73.5" customHeight="1" x14ac:dyDescent="0.25">
      <c r="A25" s="69" t="s">
        <v>1101</v>
      </c>
      <c r="B25" s="69" t="s">
        <v>276</v>
      </c>
      <c r="C25" s="69" t="s">
        <v>305</v>
      </c>
      <c r="D25" s="69" t="s">
        <v>12</v>
      </c>
      <c r="E25" s="69" t="s">
        <v>25</v>
      </c>
      <c r="F25" s="69" t="s">
        <v>13</v>
      </c>
      <c r="G25" s="69">
        <v>200</v>
      </c>
      <c r="H25" s="70">
        <v>5.19</v>
      </c>
      <c r="I25" s="70">
        <v>2.5950000000000001E-2</v>
      </c>
      <c r="J25" s="69" t="s">
        <v>216</v>
      </c>
      <c r="K25" s="69" t="s">
        <v>630</v>
      </c>
      <c r="L25" s="69" t="s">
        <v>2</v>
      </c>
      <c r="M25" s="75" t="s">
        <v>8</v>
      </c>
      <c r="N25" s="75" t="s">
        <v>2</v>
      </c>
      <c r="O25" s="75" t="s">
        <v>699</v>
      </c>
      <c r="P25" s="75" t="s">
        <v>702</v>
      </c>
      <c r="Q25" s="75" t="s">
        <v>2</v>
      </c>
      <c r="R25" s="75" t="s">
        <v>2</v>
      </c>
      <c r="S25" s="75" t="s">
        <v>2</v>
      </c>
      <c r="T25" s="75" t="s">
        <v>2</v>
      </c>
      <c r="U25" s="75" t="s">
        <v>2</v>
      </c>
      <c r="V25" s="75" t="s">
        <v>2</v>
      </c>
      <c r="W25" s="75" t="s">
        <v>2</v>
      </c>
      <c r="X25" s="75" t="s">
        <v>2</v>
      </c>
      <c r="Y25" s="75" t="s">
        <v>716</v>
      </c>
      <c r="Z25" s="69" t="s">
        <v>79</v>
      </c>
      <c r="AA25" s="69" t="s">
        <v>725</v>
      </c>
      <c r="AB25" s="69" t="s">
        <v>725</v>
      </c>
      <c r="AC25" s="69" t="s">
        <v>942</v>
      </c>
      <c r="AD25" s="72">
        <f>Table13[[#This Row],[Carbon footprint per inhaler attributed to propellant PrescQIPP calculated as gCO2e (from PIL or as assigned in the methodology)11-13]]</f>
        <v>17346</v>
      </c>
      <c r="AE25" s="75" t="s">
        <v>1070</v>
      </c>
      <c r="AF25" s="94" t="s">
        <v>46</v>
      </c>
      <c r="AG25" s="94" t="s">
        <v>46</v>
      </c>
      <c r="AH25" s="94" t="s">
        <v>46</v>
      </c>
      <c r="AI25" s="94" t="s">
        <v>46</v>
      </c>
      <c r="AJ25" s="72" t="str">
        <f>IF(Table13[[#This Row],[Indicative carbon footprint /inhaler (gCO2e) 7,8]]&gt;1796,"High","Low")</f>
        <v>High</v>
      </c>
      <c r="AK25" s="72" t="s">
        <v>587</v>
      </c>
      <c r="AL25" s="72" t="s">
        <v>46</v>
      </c>
      <c r="AM25" s="70" t="s">
        <v>787</v>
      </c>
      <c r="AN25" s="69" t="s">
        <v>177</v>
      </c>
      <c r="AO25" s="69" t="s">
        <v>46</v>
      </c>
      <c r="AP25" s="69" t="s">
        <v>46</v>
      </c>
      <c r="AQ25" s="72">
        <v>17346</v>
      </c>
      <c r="AR25" s="74" t="s">
        <v>631</v>
      </c>
      <c r="AS25" s="69" t="s">
        <v>34</v>
      </c>
      <c r="AT25" s="94" t="s">
        <v>662</v>
      </c>
      <c r="AU25" s="69">
        <v>480.56</v>
      </c>
      <c r="AV25" s="69">
        <v>74.86</v>
      </c>
      <c r="AW25" s="69">
        <v>27.450000000000003</v>
      </c>
      <c r="AX25" s="69">
        <v>81.349999999999994</v>
      </c>
      <c r="AY25" s="69">
        <v>570.26</v>
      </c>
      <c r="AZ25" s="69" t="s">
        <v>46</v>
      </c>
      <c r="BA25" s="69" t="s">
        <v>46</v>
      </c>
      <c r="BB25" s="69">
        <v>10.64</v>
      </c>
      <c r="BC25" s="69">
        <v>13295.17</v>
      </c>
      <c r="BD25" s="69">
        <v>2435.6799999999998</v>
      </c>
      <c r="BE25" s="69" t="s">
        <v>46</v>
      </c>
      <c r="BF25" s="95" t="s">
        <v>678</v>
      </c>
      <c r="BG25" s="69" t="s">
        <v>46</v>
      </c>
      <c r="BH25" s="69" t="s">
        <v>46</v>
      </c>
      <c r="BI25" s="69" t="s">
        <v>46</v>
      </c>
      <c r="BJ25" s="69" t="s">
        <v>46</v>
      </c>
      <c r="BK25" s="69" t="s">
        <v>46</v>
      </c>
      <c r="BL25" s="69" t="s">
        <v>632</v>
      </c>
      <c r="BM25" s="75" t="s">
        <v>843</v>
      </c>
      <c r="BN25" s="75" t="s">
        <v>878</v>
      </c>
      <c r="BO25" s="72">
        <v>15665.000000000002</v>
      </c>
      <c r="BP25" s="72">
        <v>17346</v>
      </c>
      <c r="BQ25" s="75" t="s">
        <v>11</v>
      </c>
      <c r="BR25" s="72">
        <f>Table13[[#This Row],[Inhaler carbon footprint per inhaler in v2.37 (gCO2e) ]]-Table13[[#This Row],[Inhaler carbon footprint per inhaler in v2.36 (gCO2e) ]]</f>
        <v>1680.9999999999982</v>
      </c>
      <c r="BS25" s="72" t="s">
        <v>1010</v>
      </c>
    </row>
    <row r="26" spans="1:71" ht="62.45" customHeight="1" x14ac:dyDescent="0.25">
      <c r="A26" s="69" t="s">
        <v>1102</v>
      </c>
      <c r="B26" s="69" t="s">
        <v>276</v>
      </c>
      <c r="C26" s="69" t="s">
        <v>307</v>
      </c>
      <c r="D26" s="69" t="s">
        <v>12</v>
      </c>
      <c r="E26" s="69" t="s">
        <v>25</v>
      </c>
      <c r="F26" s="69" t="s">
        <v>13</v>
      </c>
      <c r="G26" s="69">
        <v>200</v>
      </c>
      <c r="H26" s="70">
        <v>11.31</v>
      </c>
      <c r="I26" s="70">
        <v>5.6550000000000003E-2</v>
      </c>
      <c r="J26" s="69" t="s">
        <v>633</v>
      </c>
      <c r="K26" s="69" t="s">
        <v>630</v>
      </c>
      <c r="L26" s="69" t="s">
        <v>2</v>
      </c>
      <c r="M26" s="75" t="s">
        <v>8</v>
      </c>
      <c r="N26" s="75" t="s">
        <v>2</v>
      </c>
      <c r="O26" s="75" t="s">
        <v>700</v>
      </c>
      <c r="P26" s="75" t="s">
        <v>699</v>
      </c>
      <c r="Q26" s="75" t="s">
        <v>2</v>
      </c>
      <c r="R26" s="75" t="s">
        <v>2</v>
      </c>
      <c r="S26" s="75" t="s">
        <v>2</v>
      </c>
      <c r="T26" s="75"/>
      <c r="U26" s="75" t="s">
        <v>2</v>
      </c>
      <c r="V26" s="75" t="s">
        <v>2</v>
      </c>
      <c r="W26" s="75" t="s">
        <v>2</v>
      </c>
      <c r="X26" s="75" t="s">
        <v>2</v>
      </c>
      <c r="Y26" s="75" t="s">
        <v>716</v>
      </c>
      <c r="Z26" s="69" t="s">
        <v>79</v>
      </c>
      <c r="AA26" s="69" t="s">
        <v>725</v>
      </c>
      <c r="AB26" s="69" t="s">
        <v>725</v>
      </c>
      <c r="AC26" s="69" t="s">
        <v>943</v>
      </c>
      <c r="AD26" s="72">
        <f>Table13[[#This Row],[Carbon footprint per inhaler attributed to propellant PrescQIPP calculated as gCO2e (from PIL or as assigned in the methodology)11-13]]</f>
        <v>17089</v>
      </c>
      <c r="AE26" s="75" t="s">
        <v>1072</v>
      </c>
      <c r="AF26" s="94" t="s">
        <v>46</v>
      </c>
      <c r="AG26" s="94" t="s">
        <v>46</v>
      </c>
      <c r="AH26" s="94" t="s">
        <v>46</v>
      </c>
      <c r="AI26" s="94" t="s">
        <v>46</v>
      </c>
      <c r="AJ26" s="72" t="str">
        <f>IF(Table13[[#This Row],[Indicative carbon footprint /inhaler (gCO2e) 7,8]]&gt;1796,"High","Low")</f>
        <v>High</v>
      </c>
      <c r="AK26" s="72" t="s">
        <v>587</v>
      </c>
      <c r="AL26" s="72" t="s">
        <v>46</v>
      </c>
      <c r="AM26" s="70" t="s">
        <v>787</v>
      </c>
      <c r="AN26" s="69" t="s">
        <v>177</v>
      </c>
      <c r="AO26" s="69" t="s">
        <v>46</v>
      </c>
      <c r="AP26" s="69" t="s">
        <v>46</v>
      </c>
      <c r="AQ26" s="72">
        <v>17089</v>
      </c>
      <c r="AR26" s="74" t="s">
        <v>634</v>
      </c>
      <c r="AS26" s="69" t="s">
        <v>34</v>
      </c>
      <c r="AT26" s="94" t="s">
        <v>662</v>
      </c>
      <c r="AU26" s="69">
        <v>478.09000000000003</v>
      </c>
      <c r="AV26" s="69">
        <v>74.86</v>
      </c>
      <c r="AW26" s="69">
        <v>27.450000000000003</v>
      </c>
      <c r="AX26" s="69">
        <v>81.510000000000005</v>
      </c>
      <c r="AY26" s="69">
        <v>570.26</v>
      </c>
      <c r="AZ26" s="69" t="s">
        <v>46</v>
      </c>
      <c r="BA26" s="69" t="s">
        <v>46</v>
      </c>
      <c r="BB26" s="69">
        <v>10.64</v>
      </c>
      <c r="BC26" s="69">
        <v>13268.68</v>
      </c>
      <c r="BD26" s="69">
        <v>2430.9499999999998</v>
      </c>
      <c r="BE26" s="69" t="s">
        <v>46</v>
      </c>
      <c r="BF26" s="95" t="s">
        <v>678</v>
      </c>
      <c r="BG26" s="69" t="s">
        <v>46</v>
      </c>
      <c r="BH26" s="69" t="s">
        <v>46</v>
      </c>
      <c r="BI26" s="69" t="s">
        <v>46</v>
      </c>
      <c r="BJ26" s="69" t="s">
        <v>46</v>
      </c>
      <c r="BK26" s="69" t="s">
        <v>46</v>
      </c>
      <c r="BL26" s="69" t="s">
        <v>635</v>
      </c>
      <c r="BM26" s="75" t="s">
        <v>843</v>
      </c>
      <c r="BN26" s="75" t="s">
        <v>878</v>
      </c>
      <c r="BO26" s="72" t="s">
        <v>999</v>
      </c>
      <c r="BP26" s="72">
        <v>17089</v>
      </c>
      <c r="BQ26" s="75" t="s">
        <v>11</v>
      </c>
      <c r="BR26" s="72">
        <f>Table13[[#This Row],[Inhaler carbon footprint per inhaler in v2.37 (gCO2e) ]]-Table13[[#This Row],[Inhaler carbon footprint per inhaler in v2.36 (gCO2e) ]]</f>
        <v>1463</v>
      </c>
      <c r="BS26" s="72" t="s">
        <v>1010</v>
      </c>
    </row>
    <row r="27" spans="1:71" ht="69.599999999999994" customHeight="1" x14ac:dyDescent="0.25">
      <c r="A27" s="69" t="s">
        <v>52</v>
      </c>
      <c r="B27" s="69" t="s">
        <v>24</v>
      </c>
      <c r="C27" s="69" t="s">
        <v>409</v>
      </c>
      <c r="D27" s="69" t="s">
        <v>32</v>
      </c>
      <c r="E27" s="69" t="s">
        <v>33</v>
      </c>
      <c r="F27" s="69" t="s">
        <v>13</v>
      </c>
      <c r="G27" s="69">
        <v>120</v>
      </c>
      <c r="H27" s="70">
        <v>32.5</v>
      </c>
      <c r="I27" s="70">
        <f t="shared" ref="I27:I58" si="2">H27/G27</f>
        <v>0.27083333333333331</v>
      </c>
      <c r="J27" s="69" t="s">
        <v>7</v>
      </c>
      <c r="K27" s="69" t="s">
        <v>7</v>
      </c>
      <c r="L27" s="69" t="s">
        <v>2</v>
      </c>
      <c r="M27" s="75" t="s">
        <v>8</v>
      </c>
      <c r="N27" s="75" t="s">
        <v>2</v>
      </c>
      <c r="O27" s="75" t="s">
        <v>2</v>
      </c>
      <c r="P27" s="75" t="s">
        <v>2</v>
      </c>
      <c r="Q27" s="75" t="s">
        <v>2</v>
      </c>
      <c r="R27" s="75" t="s">
        <v>2</v>
      </c>
      <c r="S27" s="75" t="s">
        <v>2</v>
      </c>
      <c r="T27" s="75" t="s">
        <v>2</v>
      </c>
      <c r="U27" s="75" t="s">
        <v>2</v>
      </c>
      <c r="V27" s="75" t="s">
        <v>2</v>
      </c>
      <c r="W27" s="75" t="s">
        <v>2</v>
      </c>
      <c r="X27" s="75" t="s">
        <v>2</v>
      </c>
      <c r="Y27" s="75" t="s">
        <v>2</v>
      </c>
      <c r="Z27" s="69" t="s">
        <v>79</v>
      </c>
      <c r="AA27" s="69" t="s">
        <v>729</v>
      </c>
      <c r="AB27" s="69" t="s">
        <v>791</v>
      </c>
      <c r="AC27" s="69" t="s">
        <v>790</v>
      </c>
      <c r="AD27" s="72">
        <f>Table13[[#This Row],[Carbon footprint per inhaler attributed to propellant PrescQIPP calculated as gCO2e (from PIL or as assigned in the methodology)11-13]]</f>
        <v>15158</v>
      </c>
      <c r="AE27" s="75" t="s">
        <v>530</v>
      </c>
      <c r="AF27" s="75" t="s">
        <v>46</v>
      </c>
      <c r="AG27" s="75" t="s">
        <v>46</v>
      </c>
      <c r="AH27" s="75" t="s">
        <v>46</v>
      </c>
      <c r="AI27" s="75" t="s">
        <v>46</v>
      </c>
      <c r="AJ27" s="72" t="str">
        <f>IF(Table13[[#This Row],[Indicative carbon footprint /inhaler (gCO2e) 7,8]]&gt;1796,"High","Low")</f>
        <v>High</v>
      </c>
      <c r="AK27" s="72" t="s">
        <v>46</v>
      </c>
      <c r="AL27" s="72" t="s">
        <v>46</v>
      </c>
      <c r="AM27" s="70" t="s">
        <v>258</v>
      </c>
      <c r="AN27" s="69" t="s">
        <v>177</v>
      </c>
      <c r="AO27" s="69">
        <v>10.6</v>
      </c>
      <c r="AP27" s="69">
        <v>1.4999999999999999E-2</v>
      </c>
      <c r="AQ27" s="72">
        <f>1430*Table13[[#This Row],[Amount of propellant per inhaler (from PIL) (g)12-13]]</f>
        <v>15158</v>
      </c>
      <c r="AR27" s="74" t="s">
        <v>53</v>
      </c>
      <c r="AS27" s="69" t="s">
        <v>34</v>
      </c>
      <c r="AT27" s="69" t="s">
        <v>257</v>
      </c>
      <c r="AU27" s="69" t="s">
        <v>46</v>
      </c>
      <c r="AV27" s="69" t="s">
        <v>46</v>
      </c>
      <c r="AW27" s="69" t="s">
        <v>46</v>
      </c>
      <c r="AX27" s="69" t="s">
        <v>46</v>
      </c>
      <c r="AY27" s="69" t="s">
        <v>46</v>
      </c>
      <c r="AZ27" s="69" t="s">
        <v>46</v>
      </c>
      <c r="BA27" s="69" t="s">
        <v>46</v>
      </c>
      <c r="BB27" s="69" t="s">
        <v>46</v>
      </c>
      <c r="BC27" s="69" t="s">
        <v>46</v>
      </c>
      <c r="BD27" s="69" t="s">
        <v>46</v>
      </c>
      <c r="BE27" s="69" t="s">
        <v>46</v>
      </c>
      <c r="BF27" s="69" t="s">
        <v>46</v>
      </c>
      <c r="BG27" s="69">
        <v>2030</v>
      </c>
      <c r="BH27" s="69" t="s">
        <v>792</v>
      </c>
      <c r="BI27" s="69" t="s">
        <v>34</v>
      </c>
      <c r="BJ27" s="69" t="s">
        <v>46</v>
      </c>
      <c r="BK27" s="69" t="s">
        <v>798</v>
      </c>
      <c r="BL27" s="69" t="s">
        <v>1091</v>
      </c>
      <c r="BM27" s="75" t="s">
        <v>11</v>
      </c>
      <c r="BN27" s="75" t="s">
        <v>877</v>
      </c>
      <c r="BO27" s="72">
        <v>13104</v>
      </c>
      <c r="BP27" s="72">
        <v>15158</v>
      </c>
      <c r="BQ27" s="75" t="s">
        <v>11</v>
      </c>
      <c r="BR27" s="72">
        <f>Table13[[#This Row],[Inhaler carbon footprint per inhaler in v2.37 (gCO2e) ]]-Table13[[#This Row],[Inhaler carbon footprint per inhaler in v2.36 (gCO2e) ]]</f>
        <v>2054</v>
      </c>
      <c r="BS27" s="72">
        <f>Table13[[#This Row],[Inhaler carbon footprint per inhaler in v2.37 (gCO2e) ]]-Table13[[#This Row],[Inhaler carbon footprint per inhaler in v2.36 (gCO2e) ]]</f>
        <v>2054</v>
      </c>
    </row>
    <row r="28" spans="1:71" ht="103.5" customHeight="1" x14ac:dyDescent="0.25">
      <c r="A28" s="69" t="s">
        <v>636</v>
      </c>
      <c r="B28" s="69" t="s">
        <v>145</v>
      </c>
      <c r="C28" s="69" t="s">
        <v>755</v>
      </c>
      <c r="D28" s="69" t="s">
        <v>5</v>
      </c>
      <c r="E28" s="69" t="s">
        <v>6</v>
      </c>
      <c r="F28" s="69" t="s">
        <v>13</v>
      </c>
      <c r="G28" s="69">
        <v>120</v>
      </c>
      <c r="H28" s="70">
        <v>13.98</v>
      </c>
      <c r="I28" s="70">
        <f t="shared" si="2"/>
        <v>0.11650000000000001</v>
      </c>
      <c r="J28" s="69" t="s">
        <v>7</v>
      </c>
      <c r="K28" s="69" t="s">
        <v>7</v>
      </c>
      <c r="L28" s="69" t="s">
        <v>79</v>
      </c>
      <c r="M28" s="69" t="s">
        <v>8</v>
      </c>
      <c r="N28" s="69" t="s">
        <v>2</v>
      </c>
      <c r="O28" s="69" t="s">
        <v>2</v>
      </c>
      <c r="P28" s="69" t="s">
        <v>2</v>
      </c>
      <c r="Q28" s="75" t="s">
        <v>2</v>
      </c>
      <c r="R28" s="69" t="s">
        <v>700</v>
      </c>
      <c r="S28" s="69" t="s">
        <v>699</v>
      </c>
      <c r="T28" s="69" t="s">
        <v>2</v>
      </c>
      <c r="U28" s="95" t="s">
        <v>1132</v>
      </c>
      <c r="V28" s="95" t="s">
        <v>1131</v>
      </c>
      <c r="W28" s="96">
        <v>9.7899999999999991</v>
      </c>
      <c r="X28" s="96">
        <v>16.310000000000002</v>
      </c>
      <c r="Y28" s="75" t="s">
        <v>717</v>
      </c>
      <c r="Z28" s="69" t="s">
        <v>79</v>
      </c>
      <c r="AA28" s="69" t="s">
        <v>1128</v>
      </c>
      <c r="AB28" s="69" t="s">
        <v>945</v>
      </c>
      <c r="AC28" s="69" t="s">
        <v>944</v>
      </c>
      <c r="AD28" s="72">
        <f>Table13[[#This Row],[Carbon footprint per inhaler attributed to propellant PrescQIPP calculated as gCO2e (from PIL or as assigned in the methodology)11-13]]</f>
        <v>11654.5</v>
      </c>
      <c r="AE28" s="75" t="s">
        <v>530</v>
      </c>
      <c r="AF28" s="75" t="s">
        <v>46</v>
      </c>
      <c r="AG28" s="75" t="s">
        <v>46</v>
      </c>
      <c r="AH28" s="75" t="s">
        <v>46</v>
      </c>
      <c r="AI28" s="75" t="s">
        <v>46</v>
      </c>
      <c r="AJ28" s="72" t="str">
        <f>IF(Table13[[#This Row],[Indicative carbon footprint /inhaler (gCO2e) 7,8]]&gt;1796,"High","Low")</f>
        <v>High</v>
      </c>
      <c r="AK28" s="72" t="s">
        <v>46</v>
      </c>
      <c r="AL28" s="72" t="s">
        <v>46</v>
      </c>
      <c r="AM28" s="70"/>
      <c r="AN28" s="69" t="s">
        <v>177</v>
      </c>
      <c r="AO28" s="69">
        <v>8.15</v>
      </c>
      <c r="AP28" s="69">
        <v>1.2E-2</v>
      </c>
      <c r="AQ28" s="72">
        <f>1430*Table13[[#This Row],[Amount of propellant per inhaler (from PIL) (g)12-13]]</f>
        <v>11654.5</v>
      </c>
      <c r="AR28" s="74" t="s">
        <v>639</v>
      </c>
      <c r="AS28" s="69" t="s">
        <v>11</v>
      </c>
      <c r="AT28" s="86" t="s">
        <v>46</v>
      </c>
      <c r="AU28" s="69" t="s">
        <v>46</v>
      </c>
      <c r="AV28" s="69" t="s">
        <v>46</v>
      </c>
      <c r="AW28" s="69" t="s">
        <v>46</v>
      </c>
      <c r="AX28" s="69" t="s">
        <v>46</v>
      </c>
      <c r="AY28" s="69" t="s">
        <v>46</v>
      </c>
      <c r="AZ28" s="69" t="s">
        <v>46</v>
      </c>
      <c r="BA28" s="69" t="s">
        <v>46</v>
      </c>
      <c r="BB28" s="69" t="s">
        <v>46</v>
      </c>
      <c r="BC28" s="69" t="s">
        <v>46</v>
      </c>
      <c r="BD28" s="69" t="s">
        <v>46</v>
      </c>
      <c r="BE28" s="69" t="s">
        <v>46</v>
      </c>
      <c r="BF28" s="69" t="s">
        <v>46</v>
      </c>
      <c r="BG28" s="69" t="s">
        <v>46</v>
      </c>
      <c r="BH28" s="69" t="s">
        <v>46</v>
      </c>
      <c r="BI28" s="69" t="s">
        <v>46</v>
      </c>
      <c r="BJ28" s="69" t="s">
        <v>46</v>
      </c>
      <c r="BK28" s="69" t="s">
        <v>46</v>
      </c>
      <c r="BL28" s="69" t="s">
        <v>46</v>
      </c>
      <c r="BM28" s="75" t="s">
        <v>843</v>
      </c>
      <c r="BN28" s="75" t="s">
        <v>877</v>
      </c>
      <c r="BO28" s="72">
        <v>10700</v>
      </c>
      <c r="BP28" s="72">
        <v>11654.5</v>
      </c>
      <c r="BQ28" s="75" t="s">
        <v>11</v>
      </c>
      <c r="BR28" s="72">
        <f>Table13[[#This Row],[Inhaler carbon footprint per inhaler in v2.37 (gCO2e) ]]-Table13[[#This Row],[Inhaler carbon footprint per inhaler in v2.36 (gCO2e) ]]</f>
        <v>954.5</v>
      </c>
      <c r="BS28" s="72" t="s">
        <v>1010</v>
      </c>
    </row>
    <row r="29" spans="1:71" ht="77.45" customHeight="1" x14ac:dyDescent="0.25">
      <c r="A29" s="69" t="s">
        <v>637</v>
      </c>
      <c r="B29" s="69" t="s">
        <v>145</v>
      </c>
      <c r="C29" s="69" t="s">
        <v>756</v>
      </c>
      <c r="D29" s="69" t="s">
        <v>12</v>
      </c>
      <c r="E29" s="69" t="s">
        <v>6</v>
      </c>
      <c r="F29" s="69" t="s">
        <v>13</v>
      </c>
      <c r="G29" s="69">
        <v>120</v>
      </c>
      <c r="H29" s="70">
        <v>13.98</v>
      </c>
      <c r="I29" s="70">
        <f t="shared" si="2"/>
        <v>0.11650000000000001</v>
      </c>
      <c r="J29" s="69" t="s">
        <v>7</v>
      </c>
      <c r="K29" s="69" t="s">
        <v>7</v>
      </c>
      <c r="L29" s="69" t="s">
        <v>8</v>
      </c>
      <c r="M29" s="69" t="s">
        <v>8</v>
      </c>
      <c r="N29" s="69" t="s">
        <v>2</v>
      </c>
      <c r="O29" s="69" t="s">
        <v>2</v>
      </c>
      <c r="P29" s="69" t="s">
        <v>2</v>
      </c>
      <c r="Q29" s="75" t="s">
        <v>2</v>
      </c>
      <c r="R29" s="69" t="s">
        <v>2</v>
      </c>
      <c r="S29" s="69" t="s">
        <v>2</v>
      </c>
      <c r="T29" s="69" t="s">
        <v>699</v>
      </c>
      <c r="U29" s="75" t="s">
        <v>2</v>
      </c>
      <c r="V29" s="75" t="s">
        <v>2</v>
      </c>
      <c r="W29" s="75" t="s">
        <v>2</v>
      </c>
      <c r="X29" s="75" t="s">
        <v>2</v>
      </c>
      <c r="Y29" s="75" t="s">
        <v>717</v>
      </c>
      <c r="Z29" s="69" t="s">
        <v>79</v>
      </c>
      <c r="AA29" s="69" t="s">
        <v>946</v>
      </c>
      <c r="AB29" s="69" t="s">
        <v>945</v>
      </c>
      <c r="AC29" s="69" t="s">
        <v>944</v>
      </c>
      <c r="AD29" s="72">
        <f>Table13[[#This Row],[Carbon footprint per inhaler attributed to propellant PrescQIPP calculated as gCO2e (from PIL or as assigned in the methodology)11-13]]</f>
        <v>14643.2</v>
      </c>
      <c r="AE29" s="75" t="s">
        <v>530</v>
      </c>
      <c r="AF29" s="75" t="s">
        <v>46</v>
      </c>
      <c r="AG29" s="75" t="s">
        <v>46</v>
      </c>
      <c r="AH29" s="75" t="s">
        <v>46</v>
      </c>
      <c r="AI29" s="75" t="s">
        <v>46</v>
      </c>
      <c r="AJ29" s="72" t="str">
        <f>IF(Table13[[#This Row],[Indicative carbon footprint /inhaler (gCO2e) 7,8]]&gt;1796,"High","Low")</f>
        <v>High</v>
      </c>
      <c r="AK29" s="72" t="s">
        <v>46</v>
      </c>
      <c r="AL29" s="72" t="s">
        <v>46</v>
      </c>
      <c r="AM29" s="70"/>
      <c r="AN29" s="69" t="s">
        <v>177</v>
      </c>
      <c r="AO29" s="69">
        <v>10.24</v>
      </c>
      <c r="AP29" s="69">
        <v>1.4999999999999999E-2</v>
      </c>
      <c r="AQ29" s="72">
        <f>1430*Table13[[#This Row],[Amount of propellant per inhaler (from PIL) (g)12-13]]</f>
        <v>14643.2</v>
      </c>
      <c r="AR29" s="74" t="s">
        <v>638</v>
      </c>
      <c r="AS29" s="69" t="s">
        <v>11</v>
      </c>
      <c r="AT29" s="86" t="s">
        <v>46</v>
      </c>
      <c r="AU29" s="69" t="s">
        <v>46</v>
      </c>
      <c r="AV29" s="69" t="s">
        <v>46</v>
      </c>
      <c r="AW29" s="69" t="s">
        <v>46</v>
      </c>
      <c r="AX29" s="69" t="s">
        <v>46</v>
      </c>
      <c r="AY29" s="69" t="s">
        <v>46</v>
      </c>
      <c r="AZ29" s="69" t="s">
        <v>46</v>
      </c>
      <c r="BA29" s="69" t="s">
        <v>46</v>
      </c>
      <c r="BB29" s="69" t="s">
        <v>46</v>
      </c>
      <c r="BC29" s="69" t="s">
        <v>46</v>
      </c>
      <c r="BD29" s="69" t="s">
        <v>46</v>
      </c>
      <c r="BE29" s="69" t="s">
        <v>46</v>
      </c>
      <c r="BF29" s="69" t="s">
        <v>46</v>
      </c>
      <c r="BG29" s="69" t="s">
        <v>46</v>
      </c>
      <c r="BH29" s="69" t="s">
        <v>46</v>
      </c>
      <c r="BI29" s="69" t="s">
        <v>46</v>
      </c>
      <c r="BJ29" s="69" t="s">
        <v>46</v>
      </c>
      <c r="BK29" s="69" t="s">
        <v>46</v>
      </c>
      <c r="BL29" s="69" t="s">
        <v>46</v>
      </c>
      <c r="BM29" s="75" t="s">
        <v>843</v>
      </c>
      <c r="BN29" s="75" t="s">
        <v>877</v>
      </c>
      <c r="BO29" s="72">
        <v>13450</v>
      </c>
      <c r="BP29" s="72">
        <v>14643.2</v>
      </c>
      <c r="BQ29" s="75" t="s">
        <v>11</v>
      </c>
      <c r="BR29" s="72">
        <f>Table13[[#This Row],[Inhaler carbon footprint per inhaler in v2.37 (gCO2e) ]]-Table13[[#This Row],[Inhaler carbon footprint per inhaler in v2.36 (gCO2e) ]]</f>
        <v>1193.2000000000007</v>
      </c>
      <c r="BS29" s="72" t="s">
        <v>1010</v>
      </c>
    </row>
    <row r="30" spans="1:71" ht="61.5" customHeight="1" x14ac:dyDescent="0.25">
      <c r="A30" s="69" t="s">
        <v>897</v>
      </c>
      <c r="B30" s="69" t="s">
        <v>16</v>
      </c>
      <c r="C30" s="69" t="s">
        <v>401</v>
      </c>
      <c r="D30" s="69" t="s">
        <v>32</v>
      </c>
      <c r="E30" s="69" t="s">
        <v>92</v>
      </c>
      <c r="F30" s="69" t="s">
        <v>3</v>
      </c>
      <c r="G30" s="69">
        <v>30</v>
      </c>
      <c r="H30" s="70">
        <v>25.8</v>
      </c>
      <c r="I30" s="70">
        <f t="shared" si="2"/>
        <v>0.86</v>
      </c>
      <c r="J30" s="69" t="s">
        <v>7</v>
      </c>
      <c r="K30" s="69" t="s">
        <v>7</v>
      </c>
      <c r="L30" s="69" t="s">
        <v>2</v>
      </c>
      <c r="M30" s="75" t="s">
        <v>8</v>
      </c>
      <c r="N30" s="75" t="s">
        <v>2</v>
      </c>
      <c r="O30" s="75" t="s">
        <v>2</v>
      </c>
      <c r="P30" s="75" t="s">
        <v>2</v>
      </c>
      <c r="Q30" s="75" t="s">
        <v>2</v>
      </c>
      <c r="R30" s="75" t="s">
        <v>2</v>
      </c>
      <c r="S30" s="75" t="s">
        <v>2</v>
      </c>
      <c r="T30" s="75" t="s">
        <v>2</v>
      </c>
      <c r="U30" s="75" t="s">
        <v>2</v>
      </c>
      <c r="V30" s="75" t="s">
        <v>2</v>
      </c>
      <c r="W30" s="75" t="s">
        <v>2</v>
      </c>
      <c r="X30" s="75" t="s">
        <v>2</v>
      </c>
      <c r="Y30" s="75" t="s">
        <v>2</v>
      </c>
      <c r="Z30" s="75" t="s">
        <v>2</v>
      </c>
      <c r="AA30" s="75" t="s">
        <v>725</v>
      </c>
      <c r="AB30" s="75" t="s">
        <v>871</v>
      </c>
      <c r="AC30" s="81" t="s">
        <v>872</v>
      </c>
      <c r="AD30" s="72">
        <v>282</v>
      </c>
      <c r="AE30" s="75" t="s">
        <v>1077</v>
      </c>
      <c r="AF30" s="75" t="s">
        <v>34</v>
      </c>
      <c r="AG30" s="75" t="s">
        <v>809</v>
      </c>
      <c r="AH30" s="75" t="s">
        <v>34</v>
      </c>
      <c r="AI30" s="75" t="s">
        <v>809</v>
      </c>
      <c r="AJ30" s="72" t="str">
        <f>IF(Table13[[#This Row],[Indicative carbon footprint /inhaler (gCO2e) 7,8]]&gt;1796,"High","Low")</f>
        <v>Low</v>
      </c>
      <c r="AK30" s="72" t="s">
        <v>46</v>
      </c>
      <c r="AL30" s="72" t="s">
        <v>46</v>
      </c>
      <c r="AM30" s="70" t="s">
        <v>898</v>
      </c>
      <c r="AN30" s="69" t="s">
        <v>2</v>
      </c>
      <c r="AO30" s="69" t="s">
        <v>2</v>
      </c>
      <c r="AP30" s="69" t="s">
        <v>2</v>
      </c>
      <c r="AQ30" s="69" t="s">
        <v>2</v>
      </c>
      <c r="AR30" s="74" t="s">
        <v>242</v>
      </c>
      <c r="AS30" s="69" t="s">
        <v>34</v>
      </c>
      <c r="AT30" s="69" t="s">
        <v>46</v>
      </c>
      <c r="AU30" s="69" t="s">
        <v>46</v>
      </c>
      <c r="AV30" s="69" t="s">
        <v>46</v>
      </c>
      <c r="AW30" s="69" t="s">
        <v>46</v>
      </c>
      <c r="AX30" s="69" t="s">
        <v>46</v>
      </c>
      <c r="AY30" s="69" t="s">
        <v>46</v>
      </c>
      <c r="AZ30" s="69" t="s">
        <v>46</v>
      </c>
      <c r="BA30" s="69" t="s">
        <v>46</v>
      </c>
      <c r="BB30" s="69" t="s">
        <v>46</v>
      </c>
      <c r="BC30" s="69" t="s">
        <v>46</v>
      </c>
      <c r="BD30" s="69" t="s">
        <v>46</v>
      </c>
      <c r="BE30" s="69" t="s">
        <v>46</v>
      </c>
      <c r="BF30" s="69" t="s">
        <v>2</v>
      </c>
      <c r="BG30" s="69" t="s">
        <v>2</v>
      </c>
      <c r="BH30" s="69" t="s">
        <v>2</v>
      </c>
      <c r="BI30" s="69" t="s">
        <v>2</v>
      </c>
      <c r="BJ30" s="69" t="s">
        <v>2</v>
      </c>
      <c r="BK30" s="69" t="s">
        <v>2</v>
      </c>
      <c r="BL30" s="69" t="s">
        <v>46</v>
      </c>
      <c r="BM30" s="75" t="s">
        <v>11</v>
      </c>
      <c r="BN30" s="75" t="s">
        <v>2</v>
      </c>
      <c r="BO30" s="72">
        <v>562.5</v>
      </c>
      <c r="BP30" s="72">
        <v>282</v>
      </c>
      <c r="BQ30" s="75" t="s">
        <v>11</v>
      </c>
      <c r="BR30" s="72">
        <f>Table13[[#This Row],[Inhaler carbon footprint per inhaler in v2.37 (gCO2e) ]]-Table13[[#This Row],[Inhaler carbon footprint per inhaler in v2.36 (gCO2e) ]]</f>
        <v>-280.5</v>
      </c>
      <c r="BS30" s="72">
        <f>Table13[[#This Row],[Inhaler carbon footprint per inhaler in v2.37 (gCO2e) ]]-Table13[[#This Row],[Inhaler carbon footprint per inhaler in v2.36 (gCO2e) ]]</f>
        <v>-280.5</v>
      </c>
    </row>
    <row r="31" spans="1:71" ht="62.45" customHeight="1" x14ac:dyDescent="0.25">
      <c r="A31" s="69" t="s">
        <v>300</v>
      </c>
      <c r="B31" s="69" t="s">
        <v>24</v>
      </c>
      <c r="C31" s="69" t="s">
        <v>301</v>
      </c>
      <c r="D31" s="69" t="s">
        <v>17</v>
      </c>
      <c r="E31" s="69" t="s">
        <v>18</v>
      </c>
      <c r="F31" s="69" t="s">
        <v>3</v>
      </c>
      <c r="G31" s="69">
        <v>120</v>
      </c>
      <c r="H31" s="70">
        <v>8.3000000000000007</v>
      </c>
      <c r="I31" s="70">
        <f t="shared" si="2"/>
        <v>6.9166666666666668E-2</v>
      </c>
      <c r="J31" s="69" t="s">
        <v>54</v>
      </c>
      <c r="K31" s="69" t="s">
        <v>54</v>
      </c>
      <c r="L31" s="69" t="s">
        <v>2</v>
      </c>
      <c r="M31" s="75" t="s">
        <v>8</v>
      </c>
      <c r="N31" s="75" t="s">
        <v>2</v>
      </c>
      <c r="O31" s="75" t="s">
        <v>2</v>
      </c>
      <c r="P31" s="75" t="s">
        <v>2</v>
      </c>
      <c r="Q31" s="75" t="s">
        <v>2</v>
      </c>
      <c r="R31" s="75" t="s">
        <v>2</v>
      </c>
      <c r="S31" s="75" t="s">
        <v>2</v>
      </c>
      <c r="T31" s="75" t="s">
        <v>2</v>
      </c>
      <c r="U31" s="75" t="s">
        <v>2</v>
      </c>
      <c r="V31" s="75" t="s">
        <v>2</v>
      </c>
      <c r="W31" s="75" t="s">
        <v>2</v>
      </c>
      <c r="X31" s="75" t="s">
        <v>2</v>
      </c>
      <c r="Y31" s="75" t="s">
        <v>2</v>
      </c>
      <c r="Z31" s="69" t="s">
        <v>79</v>
      </c>
      <c r="AA31" s="69" t="s">
        <v>715</v>
      </c>
      <c r="AB31" s="69" t="s">
        <v>715</v>
      </c>
      <c r="AC31" s="69" t="s">
        <v>793</v>
      </c>
      <c r="AD31" s="72">
        <v>492</v>
      </c>
      <c r="AE31" s="75" t="s">
        <v>9</v>
      </c>
      <c r="AF31" s="75" t="s">
        <v>46</v>
      </c>
      <c r="AG31" s="75" t="s">
        <v>46</v>
      </c>
      <c r="AH31" s="75" t="s">
        <v>46</v>
      </c>
      <c r="AI31" s="75" t="s">
        <v>46</v>
      </c>
      <c r="AJ31" s="72" t="str">
        <f>IF(Table13[[#This Row],[Indicative carbon footprint /inhaler (gCO2e) 7,8]]&gt;1796,"High","Low")</f>
        <v>Low</v>
      </c>
      <c r="AK31" s="72" t="s">
        <v>46</v>
      </c>
      <c r="AL31" s="72" t="s">
        <v>46</v>
      </c>
      <c r="AM31" s="70"/>
      <c r="AN31" s="69" t="s">
        <v>2</v>
      </c>
      <c r="AO31" s="69" t="s">
        <v>2</v>
      </c>
      <c r="AP31" s="69" t="s">
        <v>2</v>
      </c>
      <c r="AQ31" s="69" t="s">
        <v>2</v>
      </c>
      <c r="AR31" s="74" t="s">
        <v>550</v>
      </c>
      <c r="AS31" s="69" t="s">
        <v>34</v>
      </c>
      <c r="AT31" s="69" t="s">
        <v>257</v>
      </c>
      <c r="AU31" s="69" t="s">
        <v>46</v>
      </c>
      <c r="AV31" s="69" t="s">
        <v>46</v>
      </c>
      <c r="AW31" s="69" t="s">
        <v>46</v>
      </c>
      <c r="AX31" s="69" t="s">
        <v>46</v>
      </c>
      <c r="AY31" s="69" t="s">
        <v>46</v>
      </c>
      <c r="AZ31" s="69" t="s">
        <v>46</v>
      </c>
      <c r="BA31" s="69" t="s">
        <v>46</v>
      </c>
      <c r="BB31" s="69" t="s">
        <v>46</v>
      </c>
      <c r="BC31" s="69" t="s">
        <v>46</v>
      </c>
      <c r="BD31" s="69" t="s">
        <v>46</v>
      </c>
      <c r="BE31" s="69" t="s">
        <v>46</v>
      </c>
      <c r="BF31" s="69" t="s">
        <v>2</v>
      </c>
      <c r="BG31" s="69" t="s">
        <v>2</v>
      </c>
      <c r="BH31" s="69" t="s">
        <v>2</v>
      </c>
      <c r="BI31" s="69" t="s">
        <v>2</v>
      </c>
      <c r="BJ31" s="69" t="s">
        <v>2</v>
      </c>
      <c r="BK31" s="69" t="s">
        <v>2</v>
      </c>
      <c r="BL31" s="69" t="s">
        <v>786</v>
      </c>
      <c r="BM31" s="75" t="s">
        <v>11</v>
      </c>
      <c r="BN31" s="75" t="s">
        <v>2</v>
      </c>
      <c r="BO31" s="72">
        <v>491.99999999999994</v>
      </c>
      <c r="BP31" s="72">
        <v>492</v>
      </c>
      <c r="BQ31" s="75" t="s">
        <v>34</v>
      </c>
      <c r="BR31" s="72">
        <f>Table13[[#This Row],[Inhaler carbon footprint per inhaler in v2.37 (gCO2e) ]]-Table13[[#This Row],[Inhaler carbon footprint per inhaler in v2.36 (gCO2e) ]]</f>
        <v>0</v>
      </c>
      <c r="BS31" s="72" t="s">
        <v>809</v>
      </c>
    </row>
    <row r="32" spans="1:71" ht="133.5" customHeight="1" x14ac:dyDescent="0.25">
      <c r="A32" s="69" t="s">
        <v>1105</v>
      </c>
      <c r="B32" s="75" t="s">
        <v>892</v>
      </c>
      <c r="C32" s="69" t="s">
        <v>302</v>
      </c>
      <c r="D32" s="69" t="s">
        <v>12</v>
      </c>
      <c r="E32" s="69" t="s">
        <v>25</v>
      </c>
      <c r="F32" s="69" t="s">
        <v>3</v>
      </c>
      <c r="G32" s="69">
        <v>100</v>
      </c>
      <c r="H32" s="70">
        <v>9.59</v>
      </c>
      <c r="I32" s="70">
        <f t="shared" si="2"/>
        <v>9.5899999999999999E-2</v>
      </c>
      <c r="J32" s="69" t="s">
        <v>57</v>
      </c>
      <c r="K32" s="69" t="s">
        <v>58</v>
      </c>
      <c r="L32" s="69" t="s">
        <v>2</v>
      </c>
      <c r="M32" s="75" t="s">
        <v>8</v>
      </c>
      <c r="N32" s="75" t="s">
        <v>2</v>
      </c>
      <c r="O32" s="75" t="s">
        <v>700</v>
      </c>
      <c r="P32" s="75" t="s">
        <v>699</v>
      </c>
      <c r="Q32" s="75" t="s">
        <v>703</v>
      </c>
      <c r="R32" s="75" t="s">
        <v>2</v>
      </c>
      <c r="S32" s="75" t="s">
        <v>2</v>
      </c>
      <c r="T32" s="75" t="s">
        <v>2</v>
      </c>
      <c r="U32" s="75" t="s">
        <v>2</v>
      </c>
      <c r="V32" s="75" t="s">
        <v>2</v>
      </c>
      <c r="W32" s="75" t="s">
        <v>2</v>
      </c>
      <c r="X32" s="75" t="s">
        <v>2</v>
      </c>
      <c r="Y32" s="75" t="s">
        <v>718</v>
      </c>
      <c r="Z32" s="69" t="s">
        <v>79</v>
      </c>
      <c r="AA32" s="69" t="s">
        <v>913</v>
      </c>
      <c r="AB32" s="69" t="s">
        <v>912</v>
      </c>
      <c r="AC32" s="69" t="s">
        <v>911</v>
      </c>
      <c r="AD32" s="72">
        <v>667</v>
      </c>
      <c r="AE32" s="75" t="s">
        <v>964</v>
      </c>
      <c r="AF32" s="75" t="s">
        <v>46</v>
      </c>
      <c r="AG32" s="75" t="s">
        <v>46</v>
      </c>
      <c r="AH32" s="75" t="s">
        <v>46</v>
      </c>
      <c r="AI32" s="75" t="s">
        <v>46</v>
      </c>
      <c r="AJ32" s="72" t="str">
        <f>IF(Table13[[#This Row],[Indicative carbon footprint /inhaler (gCO2e) 7,8]]&gt;1796,"High","Low")</f>
        <v>Low</v>
      </c>
      <c r="AK32" s="72" t="s">
        <v>46</v>
      </c>
      <c r="AL32" s="72" t="s">
        <v>46</v>
      </c>
      <c r="AM32" s="70"/>
      <c r="AN32" s="69" t="s">
        <v>2</v>
      </c>
      <c r="AO32" s="69" t="s">
        <v>2</v>
      </c>
      <c r="AP32" s="69" t="s">
        <v>2</v>
      </c>
      <c r="AQ32" s="69" t="s">
        <v>2</v>
      </c>
      <c r="AR32" s="74" t="s">
        <v>59</v>
      </c>
      <c r="AS32" s="69" t="s">
        <v>34</v>
      </c>
      <c r="AT32" s="69" t="s">
        <v>46</v>
      </c>
      <c r="AU32" s="69" t="s">
        <v>46</v>
      </c>
      <c r="AV32" s="69" t="s">
        <v>46</v>
      </c>
      <c r="AW32" s="69" t="s">
        <v>46</v>
      </c>
      <c r="AX32" s="69" t="s">
        <v>46</v>
      </c>
      <c r="AY32" s="69" t="s">
        <v>46</v>
      </c>
      <c r="AZ32" s="69" t="s">
        <v>46</v>
      </c>
      <c r="BA32" s="69" t="s">
        <v>46</v>
      </c>
      <c r="BB32" s="69" t="s">
        <v>46</v>
      </c>
      <c r="BC32" s="69" t="s">
        <v>46</v>
      </c>
      <c r="BD32" s="69" t="s">
        <v>46</v>
      </c>
      <c r="BE32" s="69" t="s">
        <v>46</v>
      </c>
      <c r="BF32" s="69" t="s">
        <v>2</v>
      </c>
      <c r="BG32" s="69" t="s">
        <v>2</v>
      </c>
      <c r="BH32" s="69" t="s">
        <v>2</v>
      </c>
      <c r="BI32" s="69" t="s">
        <v>2</v>
      </c>
      <c r="BJ32" s="69" t="s">
        <v>2</v>
      </c>
      <c r="BK32" s="69" t="s">
        <v>2</v>
      </c>
      <c r="BL32" s="69" t="s">
        <v>46</v>
      </c>
      <c r="BM32" s="75" t="s">
        <v>843</v>
      </c>
      <c r="BN32" s="75" t="s">
        <v>2</v>
      </c>
      <c r="BO32" s="72">
        <v>1875</v>
      </c>
      <c r="BP32" s="72">
        <v>667</v>
      </c>
      <c r="BQ32" s="75" t="s">
        <v>11</v>
      </c>
      <c r="BR32" s="72">
        <f>Table13[[#This Row],[Inhaler carbon footprint per inhaler in v2.37 (gCO2e) ]]-Table13[[#This Row],[Inhaler carbon footprint per inhaler in v2.36 (gCO2e) ]]</f>
        <v>-1208</v>
      </c>
      <c r="BS32" s="72">
        <f>Table13[[#This Row],[Inhaler carbon footprint per inhaler in v2.37 (gCO2e) ]]-Table13[[#This Row],[Inhaler carbon footprint per inhaler in v2.36 (gCO2e) ]]</f>
        <v>-1208</v>
      </c>
    </row>
    <row r="33" spans="1:71" ht="33.950000000000003" customHeight="1" x14ac:dyDescent="0.25">
      <c r="A33" s="69" t="s">
        <v>1106</v>
      </c>
      <c r="B33" s="75" t="s">
        <v>892</v>
      </c>
      <c r="C33" s="69" t="s">
        <v>303</v>
      </c>
      <c r="D33" s="69" t="s">
        <v>12</v>
      </c>
      <c r="E33" s="69" t="s">
        <v>25</v>
      </c>
      <c r="F33" s="69" t="s">
        <v>3</v>
      </c>
      <c r="G33" s="69">
        <v>100</v>
      </c>
      <c r="H33" s="70">
        <v>14.86</v>
      </c>
      <c r="I33" s="70">
        <f t="shared" si="2"/>
        <v>0.14859999999999998</v>
      </c>
      <c r="J33" s="69" t="s">
        <v>57</v>
      </c>
      <c r="K33" s="69" t="s">
        <v>58</v>
      </c>
      <c r="L33" s="69" t="s">
        <v>2</v>
      </c>
      <c r="M33" s="75" t="s">
        <v>8</v>
      </c>
      <c r="N33" s="75" t="s">
        <v>2</v>
      </c>
      <c r="O33" s="75" t="s">
        <v>700</v>
      </c>
      <c r="P33" s="75" t="s">
        <v>699</v>
      </c>
      <c r="Q33" s="75" t="s">
        <v>703</v>
      </c>
      <c r="R33" s="75" t="s">
        <v>2</v>
      </c>
      <c r="S33" s="75" t="s">
        <v>2</v>
      </c>
      <c r="T33" s="75" t="s">
        <v>2</v>
      </c>
      <c r="U33" s="75" t="s">
        <v>2</v>
      </c>
      <c r="V33" s="75" t="s">
        <v>2</v>
      </c>
      <c r="W33" s="75" t="s">
        <v>2</v>
      </c>
      <c r="X33" s="75" t="s">
        <v>2</v>
      </c>
      <c r="Y33" s="75" t="s">
        <v>718</v>
      </c>
      <c r="Z33" s="69" t="s">
        <v>79</v>
      </c>
      <c r="AA33" s="69" t="s">
        <v>913</v>
      </c>
      <c r="AB33" s="69" t="s">
        <v>912</v>
      </c>
      <c r="AC33" s="69" t="s">
        <v>911</v>
      </c>
      <c r="AD33" s="72">
        <v>667</v>
      </c>
      <c r="AE33" s="75" t="s">
        <v>964</v>
      </c>
      <c r="AF33" s="75" t="s">
        <v>46</v>
      </c>
      <c r="AG33" s="75" t="s">
        <v>46</v>
      </c>
      <c r="AH33" s="75" t="s">
        <v>46</v>
      </c>
      <c r="AI33" s="75" t="s">
        <v>46</v>
      </c>
      <c r="AJ33" s="72" t="str">
        <f>IF(Table13[[#This Row],[Indicative carbon footprint /inhaler (gCO2e) 7,8]]&gt;1796,"High","Low")</f>
        <v>Low</v>
      </c>
      <c r="AK33" s="72" t="s">
        <v>46</v>
      </c>
      <c r="AL33" s="72" t="s">
        <v>46</v>
      </c>
      <c r="AM33" s="70"/>
      <c r="AN33" s="69" t="s">
        <v>2</v>
      </c>
      <c r="AO33" s="69" t="s">
        <v>2</v>
      </c>
      <c r="AP33" s="69" t="s">
        <v>2</v>
      </c>
      <c r="AQ33" s="69" t="s">
        <v>2</v>
      </c>
      <c r="AR33" s="74" t="s">
        <v>540</v>
      </c>
      <c r="AS33" s="69" t="s">
        <v>34</v>
      </c>
      <c r="AT33" s="69" t="s">
        <v>46</v>
      </c>
      <c r="AU33" s="69" t="s">
        <v>46</v>
      </c>
      <c r="AV33" s="69" t="s">
        <v>46</v>
      </c>
      <c r="AW33" s="69" t="s">
        <v>46</v>
      </c>
      <c r="AX33" s="69" t="s">
        <v>46</v>
      </c>
      <c r="AY33" s="69" t="s">
        <v>46</v>
      </c>
      <c r="AZ33" s="69" t="s">
        <v>46</v>
      </c>
      <c r="BA33" s="69" t="s">
        <v>46</v>
      </c>
      <c r="BB33" s="69" t="s">
        <v>46</v>
      </c>
      <c r="BC33" s="69" t="s">
        <v>46</v>
      </c>
      <c r="BD33" s="69" t="s">
        <v>46</v>
      </c>
      <c r="BE33" s="69" t="s">
        <v>46</v>
      </c>
      <c r="BF33" s="69" t="s">
        <v>2</v>
      </c>
      <c r="BG33" s="69" t="s">
        <v>2</v>
      </c>
      <c r="BH33" s="69" t="s">
        <v>2</v>
      </c>
      <c r="BI33" s="69" t="s">
        <v>2</v>
      </c>
      <c r="BJ33" s="69" t="s">
        <v>2</v>
      </c>
      <c r="BK33" s="69" t="s">
        <v>2</v>
      </c>
      <c r="BL33" s="69" t="s">
        <v>46</v>
      </c>
      <c r="BM33" s="75" t="s">
        <v>843</v>
      </c>
      <c r="BN33" s="75" t="s">
        <v>2</v>
      </c>
      <c r="BO33" s="72">
        <v>1875</v>
      </c>
      <c r="BP33" s="72">
        <v>667</v>
      </c>
      <c r="BQ33" s="75" t="s">
        <v>11</v>
      </c>
      <c r="BR33" s="72">
        <f>Table13[[#This Row],[Inhaler carbon footprint per inhaler in v2.37 (gCO2e) ]]-Table13[[#This Row],[Inhaler carbon footprint per inhaler in v2.36 (gCO2e) ]]</f>
        <v>-1208</v>
      </c>
      <c r="BS33" s="72">
        <f>Table13[[#This Row],[Inhaler carbon footprint per inhaler in v2.37 (gCO2e) ]]-Table13[[#This Row],[Inhaler carbon footprint per inhaler in v2.36 (gCO2e) ]]</f>
        <v>-1208</v>
      </c>
    </row>
    <row r="34" spans="1:71" ht="116.25" customHeight="1" x14ac:dyDescent="0.25">
      <c r="A34" s="69" t="s">
        <v>1110</v>
      </c>
      <c r="B34" s="69" t="s">
        <v>694</v>
      </c>
      <c r="C34" s="69" t="s">
        <v>759</v>
      </c>
      <c r="D34" s="69" t="s">
        <v>12</v>
      </c>
      <c r="E34" s="69" t="s">
        <v>6</v>
      </c>
      <c r="F34" s="69" t="s">
        <v>3</v>
      </c>
      <c r="G34" s="69">
        <v>60</v>
      </c>
      <c r="H34" s="70">
        <v>7.95</v>
      </c>
      <c r="I34" s="70">
        <f t="shared" si="2"/>
        <v>0.13250000000000001</v>
      </c>
      <c r="J34" s="69" t="s">
        <v>26</v>
      </c>
      <c r="K34" s="69" t="s">
        <v>26</v>
      </c>
      <c r="L34" s="69" t="s">
        <v>8</v>
      </c>
      <c r="M34" s="69" t="s">
        <v>8</v>
      </c>
      <c r="N34" s="69" t="s">
        <v>2</v>
      </c>
      <c r="O34" s="69" t="s">
        <v>2</v>
      </c>
      <c r="P34" s="69" t="s">
        <v>2</v>
      </c>
      <c r="Q34" s="75" t="s">
        <v>2</v>
      </c>
      <c r="R34" s="69" t="s">
        <v>700</v>
      </c>
      <c r="S34" s="69" t="s">
        <v>2</v>
      </c>
      <c r="T34" s="69" t="s">
        <v>2</v>
      </c>
      <c r="U34" s="75" t="s">
        <v>2</v>
      </c>
      <c r="V34" s="75" t="s">
        <v>2</v>
      </c>
      <c r="W34" s="75" t="s">
        <v>2</v>
      </c>
      <c r="X34" s="75" t="s">
        <v>2</v>
      </c>
      <c r="Y34" s="75" t="s">
        <v>720</v>
      </c>
      <c r="Z34" s="69" t="s">
        <v>79</v>
      </c>
      <c r="AA34" s="69" t="s">
        <v>714</v>
      </c>
      <c r="AB34" s="69" t="s">
        <v>714</v>
      </c>
      <c r="AC34" s="97" t="s">
        <v>831</v>
      </c>
      <c r="AD34" s="72">
        <v>898</v>
      </c>
      <c r="AE34" s="75" t="s">
        <v>939</v>
      </c>
      <c r="AF34" s="75" t="s">
        <v>46</v>
      </c>
      <c r="AG34" s="75" t="s">
        <v>46</v>
      </c>
      <c r="AH34" s="75" t="s">
        <v>46</v>
      </c>
      <c r="AI34" s="75" t="s">
        <v>46</v>
      </c>
      <c r="AJ34" s="72" t="str">
        <f>IF(Table13[[#This Row],[Indicative carbon footprint /inhaler (gCO2e) 7,8]]&gt;1796,"High","Low")</f>
        <v>Low</v>
      </c>
      <c r="AK34" s="72" t="s">
        <v>46</v>
      </c>
      <c r="AL34" s="72" t="s">
        <v>46</v>
      </c>
      <c r="AM34" s="70" t="s">
        <v>1047</v>
      </c>
      <c r="AN34" s="82" t="s">
        <v>2</v>
      </c>
      <c r="AO34" s="82" t="s">
        <v>2</v>
      </c>
      <c r="AP34" s="82" t="s">
        <v>2</v>
      </c>
      <c r="AQ34" s="82" t="s">
        <v>2</v>
      </c>
      <c r="AR34" s="74" t="s">
        <v>936</v>
      </c>
      <c r="AS34" s="69" t="s">
        <v>34</v>
      </c>
      <c r="AT34" s="69" t="s">
        <v>46</v>
      </c>
      <c r="AU34" s="69" t="s">
        <v>46</v>
      </c>
      <c r="AV34" s="69" t="s">
        <v>46</v>
      </c>
      <c r="AW34" s="69" t="s">
        <v>46</v>
      </c>
      <c r="AX34" s="69" t="s">
        <v>46</v>
      </c>
      <c r="AY34" s="69" t="s">
        <v>46</v>
      </c>
      <c r="AZ34" s="69" t="s">
        <v>46</v>
      </c>
      <c r="BA34" s="69" t="s">
        <v>46</v>
      </c>
      <c r="BB34" s="69" t="s">
        <v>46</v>
      </c>
      <c r="BC34" s="69" t="s">
        <v>46</v>
      </c>
      <c r="BD34" s="69" t="s">
        <v>46</v>
      </c>
      <c r="BE34" s="69" t="s">
        <v>46</v>
      </c>
      <c r="BF34" s="69" t="s">
        <v>2</v>
      </c>
      <c r="BG34" s="69" t="s">
        <v>2</v>
      </c>
      <c r="BH34" s="69" t="s">
        <v>2</v>
      </c>
      <c r="BI34" s="69" t="s">
        <v>2</v>
      </c>
      <c r="BJ34" s="69" t="s">
        <v>2</v>
      </c>
      <c r="BK34" s="69" t="s">
        <v>2</v>
      </c>
      <c r="BL34" s="69" t="s">
        <v>821</v>
      </c>
      <c r="BM34" s="75" t="s">
        <v>11</v>
      </c>
      <c r="BN34" s="75" t="s">
        <v>2</v>
      </c>
      <c r="BO34" s="72" t="s">
        <v>1083</v>
      </c>
      <c r="BP34" s="72">
        <v>898</v>
      </c>
      <c r="BQ34" s="75" t="s">
        <v>2</v>
      </c>
      <c r="BR34" s="75" t="s">
        <v>1010</v>
      </c>
      <c r="BS34" s="72" t="s">
        <v>1010</v>
      </c>
    </row>
    <row r="35" spans="1:71" ht="117" customHeight="1" x14ac:dyDescent="0.25">
      <c r="A35" s="69" t="s">
        <v>1111</v>
      </c>
      <c r="B35" s="69" t="s">
        <v>694</v>
      </c>
      <c r="C35" s="69" t="s">
        <v>760</v>
      </c>
      <c r="D35" s="69" t="s">
        <v>12</v>
      </c>
      <c r="E35" s="69" t="s">
        <v>6</v>
      </c>
      <c r="F35" s="69" t="s">
        <v>3</v>
      </c>
      <c r="G35" s="69">
        <v>60</v>
      </c>
      <c r="H35" s="70">
        <v>8.9499999999999993</v>
      </c>
      <c r="I35" s="70">
        <f t="shared" si="2"/>
        <v>0.14916666666666664</v>
      </c>
      <c r="J35" s="69" t="s">
        <v>26</v>
      </c>
      <c r="K35" s="69" t="s">
        <v>26</v>
      </c>
      <c r="L35" s="69" t="s">
        <v>8</v>
      </c>
      <c r="M35" s="69" t="s">
        <v>8</v>
      </c>
      <c r="N35" s="69" t="s">
        <v>2</v>
      </c>
      <c r="O35" s="69" t="s">
        <v>2</v>
      </c>
      <c r="P35" s="69" t="s">
        <v>2</v>
      </c>
      <c r="Q35" s="75" t="s">
        <v>2</v>
      </c>
      <c r="R35" s="69" t="s">
        <v>2</v>
      </c>
      <c r="S35" s="69" t="s">
        <v>700</v>
      </c>
      <c r="T35" s="69" t="s">
        <v>2</v>
      </c>
      <c r="U35" s="75" t="s">
        <v>2</v>
      </c>
      <c r="V35" s="75" t="s">
        <v>2</v>
      </c>
      <c r="W35" s="75" t="s">
        <v>2</v>
      </c>
      <c r="X35" s="75" t="s">
        <v>2</v>
      </c>
      <c r="Y35" s="75" t="s">
        <v>720</v>
      </c>
      <c r="Z35" s="69" t="s">
        <v>79</v>
      </c>
      <c r="AA35" s="69" t="s">
        <v>714</v>
      </c>
      <c r="AB35" s="69" t="s">
        <v>714</v>
      </c>
      <c r="AC35" s="97" t="s">
        <v>831</v>
      </c>
      <c r="AD35" s="72">
        <v>898</v>
      </c>
      <c r="AE35" s="75" t="s">
        <v>939</v>
      </c>
      <c r="AF35" s="75" t="s">
        <v>46</v>
      </c>
      <c r="AG35" s="75" t="s">
        <v>46</v>
      </c>
      <c r="AH35" s="75" t="s">
        <v>46</v>
      </c>
      <c r="AI35" s="75" t="s">
        <v>46</v>
      </c>
      <c r="AJ35" s="72" t="str">
        <f>IF(Table13[[#This Row],[Indicative carbon footprint /inhaler (gCO2e) 7,8]]&gt;1796,"High","Low")</f>
        <v>Low</v>
      </c>
      <c r="AK35" s="72" t="s">
        <v>46</v>
      </c>
      <c r="AL35" s="72" t="s">
        <v>46</v>
      </c>
      <c r="AM35" s="70" t="s">
        <v>1047</v>
      </c>
      <c r="AN35" s="82" t="s">
        <v>2</v>
      </c>
      <c r="AO35" s="82" t="s">
        <v>2</v>
      </c>
      <c r="AP35" s="82" t="s">
        <v>2</v>
      </c>
      <c r="AQ35" s="82" t="s">
        <v>2</v>
      </c>
      <c r="AR35" s="74" t="s">
        <v>938</v>
      </c>
      <c r="AS35" s="69" t="s">
        <v>34</v>
      </c>
      <c r="AT35" s="69" t="s">
        <v>46</v>
      </c>
      <c r="AU35" s="69" t="s">
        <v>46</v>
      </c>
      <c r="AV35" s="69" t="s">
        <v>46</v>
      </c>
      <c r="AW35" s="69" t="s">
        <v>46</v>
      </c>
      <c r="AX35" s="69" t="s">
        <v>46</v>
      </c>
      <c r="AY35" s="69" t="s">
        <v>46</v>
      </c>
      <c r="AZ35" s="69" t="s">
        <v>46</v>
      </c>
      <c r="BA35" s="69" t="s">
        <v>46</v>
      </c>
      <c r="BB35" s="69" t="s">
        <v>46</v>
      </c>
      <c r="BC35" s="69" t="s">
        <v>46</v>
      </c>
      <c r="BD35" s="69" t="s">
        <v>46</v>
      </c>
      <c r="BE35" s="69" t="s">
        <v>46</v>
      </c>
      <c r="BF35" s="69" t="s">
        <v>2</v>
      </c>
      <c r="BG35" s="69" t="s">
        <v>2</v>
      </c>
      <c r="BH35" s="69" t="s">
        <v>2</v>
      </c>
      <c r="BI35" s="69" t="s">
        <v>2</v>
      </c>
      <c r="BJ35" s="69" t="s">
        <v>2</v>
      </c>
      <c r="BK35" s="69" t="s">
        <v>2</v>
      </c>
      <c r="BL35" s="69" t="s">
        <v>821</v>
      </c>
      <c r="BM35" s="75" t="s">
        <v>11</v>
      </c>
      <c r="BN35" s="75" t="s">
        <v>2</v>
      </c>
      <c r="BO35" s="72" t="s">
        <v>1083</v>
      </c>
      <c r="BP35" s="72">
        <v>898</v>
      </c>
      <c r="BQ35" s="75" t="s">
        <v>2</v>
      </c>
      <c r="BR35" s="75" t="s">
        <v>1010</v>
      </c>
      <c r="BS35" s="72" t="s">
        <v>1010</v>
      </c>
    </row>
    <row r="36" spans="1:71" ht="120" customHeight="1" x14ac:dyDescent="0.25">
      <c r="A36" s="69" t="s">
        <v>1112</v>
      </c>
      <c r="B36" s="69" t="s">
        <v>694</v>
      </c>
      <c r="C36" s="69" t="s">
        <v>761</v>
      </c>
      <c r="D36" s="69" t="s">
        <v>5</v>
      </c>
      <c r="E36" s="69" t="s">
        <v>6</v>
      </c>
      <c r="F36" s="69" t="s">
        <v>3</v>
      </c>
      <c r="G36" s="69">
        <v>60</v>
      </c>
      <c r="H36" s="70">
        <v>9.9499999999999993</v>
      </c>
      <c r="I36" s="70">
        <f t="shared" si="2"/>
        <v>0.16583333333333333</v>
      </c>
      <c r="J36" s="69" t="s">
        <v>26</v>
      </c>
      <c r="K36" s="69" t="s">
        <v>26</v>
      </c>
      <c r="L36" s="69" t="s">
        <v>8</v>
      </c>
      <c r="M36" s="69" t="s">
        <v>8</v>
      </c>
      <c r="N36" s="69" t="s">
        <v>2</v>
      </c>
      <c r="O36" s="69" t="s">
        <v>2</v>
      </c>
      <c r="P36" s="69" t="s">
        <v>2</v>
      </c>
      <c r="Q36" s="75" t="s">
        <v>2</v>
      </c>
      <c r="R36" s="69" t="s">
        <v>2</v>
      </c>
      <c r="S36" s="69" t="s">
        <v>2</v>
      </c>
      <c r="T36" s="69" t="s">
        <v>700</v>
      </c>
      <c r="U36" s="75" t="s">
        <v>2</v>
      </c>
      <c r="V36" s="75" t="s">
        <v>2</v>
      </c>
      <c r="W36" s="75" t="s">
        <v>2</v>
      </c>
      <c r="X36" s="75" t="s">
        <v>2</v>
      </c>
      <c r="Y36" s="75" t="s">
        <v>720</v>
      </c>
      <c r="Z36" s="69" t="s">
        <v>79</v>
      </c>
      <c r="AA36" s="69" t="s">
        <v>714</v>
      </c>
      <c r="AB36" s="69" t="s">
        <v>714</v>
      </c>
      <c r="AC36" s="97" t="s">
        <v>831</v>
      </c>
      <c r="AD36" s="72">
        <v>898</v>
      </c>
      <c r="AE36" s="75" t="s">
        <v>939</v>
      </c>
      <c r="AF36" s="75" t="s">
        <v>46</v>
      </c>
      <c r="AG36" s="75" t="s">
        <v>46</v>
      </c>
      <c r="AH36" s="75" t="s">
        <v>46</v>
      </c>
      <c r="AI36" s="75" t="s">
        <v>46</v>
      </c>
      <c r="AJ36" s="72" t="str">
        <f>IF(Table13[[#This Row],[Indicative carbon footprint /inhaler (gCO2e) 7,8]]&gt;1796,"High","Low")</f>
        <v>Low</v>
      </c>
      <c r="AK36" s="72" t="s">
        <v>46</v>
      </c>
      <c r="AL36" s="72" t="s">
        <v>46</v>
      </c>
      <c r="AM36" s="70" t="s">
        <v>1047</v>
      </c>
      <c r="AN36" s="82" t="s">
        <v>2</v>
      </c>
      <c r="AO36" s="82" t="s">
        <v>2</v>
      </c>
      <c r="AP36" s="82" t="s">
        <v>2</v>
      </c>
      <c r="AQ36" s="82" t="s">
        <v>2</v>
      </c>
      <c r="AR36" s="74" t="s">
        <v>937</v>
      </c>
      <c r="AS36" s="69" t="s">
        <v>34</v>
      </c>
      <c r="AT36" s="69" t="s">
        <v>46</v>
      </c>
      <c r="AU36" s="69" t="s">
        <v>46</v>
      </c>
      <c r="AV36" s="69" t="s">
        <v>46</v>
      </c>
      <c r="AW36" s="69" t="s">
        <v>46</v>
      </c>
      <c r="AX36" s="69" t="s">
        <v>46</v>
      </c>
      <c r="AY36" s="69" t="s">
        <v>46</v>
      </c>
      <c r="AZ36" s="69" t="s">
        <v>46</v>
      </c>
      <c r="BA36" s="69" t="s">
        <v>46</v>
      </c>
      <c r="BB36" s="69" t="s">
        <v>46</v>
      </c>
      <c r="BC36" s="69" t="s">
        <v>46</v>
      </c>
      <c r="BD36" s="69" t="s">
        <v>46</v>
      </c>
      <c r="BE36" s="69" t="s">
        <v>46</v>
      </c>
      <c r="BF36" s="69" t="s">
        <v>2</v>
      </c>
      <c r="BG36" s="69" t="s">
        <v>2</v>
      </c>
      <c r="BH36" s="69" t="s">
        <v>2</v>
      </c>
      <c r="BI36" s="69" t="s">
        <v>2</v>
      </c>
      <c r="BJ36" s="69" t="s">
        <v>2</v>
      </c>
      <c r="BK36" s="69" t="s">
        <v>2</v>
      </c>
      <c r="BL36" s="69" t="s">
        <v>821</v>
      </c>
      <c r="BM36" s="75" t="s">
        <v>11</v>
      </c>
      <c r="BN36" s="75" t="s">
        <v>2</v>
      </c>
      <c r="BO36" s="72" t="s">
        <v>1083</v>
      </c>
      <c r="BP36" s="72">
        <v>898</v>
      </c>
      <c r="BQ36" s="75" t="s">
        <v>2</v>
      </c>
      <c r="BR36" s="75" t="s">
        <v>1010</v>
      </c>
      <c r="BS36" s="72" t="s">
        <v>1010</v>
      </c>
    </row>
    <row r="37" spans="1:71" ht="90.95" customHeight="1" x14ac:dyDescent="0.25">
      <c r="A37" s="69" t="s">
        <v>686</v>
      </c>
      <c r="B37" s="69" t="s">
        <v>684</v>
      </c>
      <c r="C37" s="69" t="s">
        <v>291</v>
      </c>
      <c r="D37" s="69" t="s">
        <v>12</v>
      </c>
      <c r="E37" s="69" t="s">
        <v>25</v>
      </c>
      <c r="F37" s="69" t="s">
        <v>13</v>
      </c>
      <c r="G37" s="69">
        <v>120</v>
      </c>
      <c r="H37" s="70">
        <v>34.76</v>
      </c>
      <c r="I37" s="70">
        <f t="shared" si="2"/>
        <v>0.28966666666666663</v>
      </c>
      <c r="J37" s="69" t="s">
        <v>26</v>
      </c>
      <c r="K37" s="69" t="s">
        <v>26</v>
      </c>
      <c r="L37" s="69" t="s">
        <v>2</v>
      </c>
      <c r="M37" s="75" t="s">
        <v>8</v>
      </c>
      <c r="N37" s="75" t="s">
        <v>2</v>
      </c>
      <c r="O37" s="75" t="s">
        <v>706</v>
      </c>
      <c r="P37" s="75" t="s">
        <v>708</v>
      </c>
      <c r="Q37" s="75" t="s">
        <v>699</v>
      </c>
      <c r="R37" s="75" t="s">
        <v>2</v>
      </c>
      <c r="S37" s="75" t="s">
        <v>2</v>
      </c>
      <c r="T37" s="75"/>
      <c r="U37" s="75" t="s">
        <v>2</v>
      </c>
      <c r="V37" s="75" t="s">
        <v>2</v>
      </c>
      <c r="W37" s="75" t="s">
        <v>2</v>
      </c>
      <c r="X37" s="75" t="s">
        <v>2</v>
      </c>
      <c r="Y37" s="75" t="s">
        <v>719</v>
      </c>
      <c r="Z37" s="69" t="s">
        <v>8</v>
      </c>
      <c r="AA37" s="69" t="s">
        <v>715</v>
      </c>
      <c r="AB37" s="69" t="s">
        <v>715</v>
      </c>
      <c r="AC37" s="69" t="s">
        <v>940</v>
      </c>
      <c r="AD37" s="72">
        <f>Table13[[#This Row],[Carbon footprint per inhaler attributed to propellant PrescQIPP calculated as gCO2e (from PIL or as assigned in the methodology)11-13]]</f>
        <v>12584.000000000002</v>
      </c>
      <c r="AE37" s="75" t="s">
        <v>530</v>
      </c>
      <c r="AF37" s="75" t="s">
        <v>46</v>
      </c>
      <c r="AG37" s="75" t="s">
        <v>46</v>
      </c>
      <c r="AH37" s="75" t="s">
        <v>46</v>
      </c>
      <c r="AI37" s="75" t="s">
        <v>46</v>
      </c>
      <c r="AJ37" s="72" t="str">
        <f>IF(Table13[[#This Row],[Indicative carbon footprint /inhaler (gCO2e) 7,8]]&gt;1796,"High","Low")</f>
        <v>High</v>
      </c>
      <c r="AK37" s="70" t="s">
        <v>46</v>
      </c>
      <c r="AL37" s="72" t="s">
        <v>46</v>
      </c>
      <c r="AM37" s="69" t="s">
        <v>685</v>
      </c>
      <c r="AN37" s="82" t="s">
        <v>177</v>
      </c>
      <c r="AO37" s="82">
        <f>0.0088*1000</f>
        <v>8.8000000000000007</v>
      </c>
      <c r="AP37" s="82">
        <v>1.26E-2</v>
      </c>
      <c r="AQ37" s="91">
        <f>1430*Table13[[#This Row],[Amount of propellant per inhaler (from PIL) (g)12-13]]</f>
        <v>12584.000000000002</v>
      </c>
      <c r="AR37" s="69" t="s">
        <v>968</v>
      </c>
      <c r="AS37" s="69" t="s">
        <v>34</v>
      </c>
      <c r="AT37" s="69" t="s">
        <v>46</v>
      </c>
      <c r="AU37" s="69" t="s">
        <v>46</v>
      </c>
      <c r="AV37" s="69" t="s">
        <v>46</v>
      </c>
      <c r="AW37" s="69" t="s">
        <v>46</v>
      </c>
      <c r="AX37" s="69" t="s">
        <v>46</v>
      </c>
      <c r="AY37" s="69" t="s">
        <v>46</v>
      </c>
      <c r="AZ37" s="69" t="s">
        <v>46</v>
      </c>
      <c r="BA37" s="69" t="s">
        <v>46</v>
      </c>
      <c r="BB37" s="69" t="s">
        <v>46</v>
      </c>
      <c r="BC37" s="69" t="s">
        <v>46</v>
      </c>
      <c r="BD37" s="69" t="s">
        <v>46</v>
      </c>
      <c r="BE37" s="69" t="s">
        <v>46</v>
      </c>
      <c r="BF37" s="69" t="s">
        <v>46</v>
      </c>
      <c r="BG37" s="69" t="s">
        <v>46</v>
      </c>
      <c r="BH37" s="69" t="s">
        <v>46</v>
      </c>
      <c r="BI37" s="69" t="s">
        <v>46</v>
      </c>
      <c r="BJ37" s="69" t="s">
        <v>46</v>
      </c>
      <c r="BK37" s="69" t="s">
        <v>46</v>
      </c>
      <c r="BL37" s="69" t="s">
        <v>46</v>
      </c>
      <c r="BM37" s="75" t="s">
        <v>11</v>
      </c>
      <c r="BN37" s="75" t="s">
        <v>877</v>
      </c>
      <c r="BO37" s="72">
        <v>12210</v>
      </c>
      <c r="BP37" s="72">
        <v>12584.000000000002</v>
      </c>
      <c r="BQ37" s="75" t="s">
        <v>11</v>
      </c>
      <c r="BR37" s="72">
        <f>Table13[[#This Row],[Inhaler carbon footprint per inhaler in v2.37 (gCO2e) ]]-Table13[[#This Row],[Inhaler carbon footprint per inhaler in v2.36 (gCO2e) ]]</f>
        <v>374.00000000000182</v>
      </c>
      <c r="BS37" s="72" t="s">
        <v>1010</v>
      </c>
    </row>
    <row r="38" spans="1:71" ht="111" customHeight="1" x14ac:dyDescent="0.25">
      <c r="A38" s="69" t="s">
        <v>687</v>
      </c>
      <c r="B38" s="69" t="s">
        <v>684</v>
      </c>
      <c r="C38" s="69" t="s">
        <v>293</v>
      </c>
      <c r="D38" s="69" t="s">
        <v>12</v>
      </c>
      <c r="E38" s="69" t="s">
        <v>25</v>
      </c>
      <c r="F38" s="69" t="s">
        <v>13</v>
      </c>
      <c r="G38" s="69">
        <v>120</v>
      </c>
      <c r="H38" s="70">
        <v>29.55</v>
      </c>
      <c r="I38" s="70">
        <f t="shared" si="2"/>
        <v>0.24625</v>
      </c>
      <c r="J38" s="69" t="s">
        <v>26</v>
      </c>
      <c r="K38" s="69" t="s">
        <v>26</v>
      </c>
      <c r="L38" s="69" t="s">
        <v>2</v>
      </c>
      <c r="M38" s="75" t="s">
        <v>8</v>
      </c>
      <c r="N38" s="75" t="s">
        <v>2</v>
      </c>
      <c r="O38" s="75" t="s">
        <v>707</v>
      </c>
      <c r="P38" s="75" t="s">
        <v>699</v>
      </c>
      <c r="Q38" s="75" t="s">
        <v>703</v>
      </c>
      <c r="R38" s="75" t="s">
        <v>2</v>
      </c>
      <c r="S38" s="75" t="s">
        <v>2</v>
      </c>
      <c r="T38" s="75"/>
      <c r="U38" s="75" t="s">
        <v>2</v>
      </c>
      <c r="V38" s="75" t="s">
        <v>2</v>
      </c>
      <c r="W38" s="75" t="s">
        <v>2</v>
      </c>
      <c r="X38" s="75" t="s">
        <v>2</v>
      </c>
      <c r="Y38" s="75" t="s">
        <v>719</v>
      </c>
      <c r="Z38" s="69" t="s">
        <v>8</v>
      </c>
      <c r="AA38" s="69" t="s">
        <v>715</v>
      </c>
      <c r="AB38" s="69" t="s">
        <v>715</v>
      </c>
      <c r="AC38" s="69" t="s">
        <v>940</v>
      </c>
      <c r="AD38" s="72">
        <f>Table13[[#This Row],[Carbon footprint per inhaler attributed to propellant PrescQIPP calculated as gCO2e (from PIL or as assigned in the methodology)11-13]]</f>
        <v>12584.000000000002</v>
      </c>
      <c r="AE38" s="75" t="s">
        <v>530</v>
      </c>
      <c r="AF38" s="75" t="s">
        <v>46</v>
      </c>
      <c r="AG38" s="75" t="s">
        <v>46</v>
      </c>
      <c r="AH38" s="75" t="s">
        <v>46</v>
      </c>
      <c r="AI38" s="75" t="s">
        <v>46</v>
      </c>
      <c r="AJ38" s="72" t="str">
        <f>IF(Table13[[#This Row],[Indicative carbon footprint /inhaler (gCO2e) 7,8]]&gt;1796,"High","Low")</f>
        <v>High</v>
      </c>
      <c r="AK38" s="70" t="s">
        <v>46</v>
      </c>
      <c r="AL38" s="72" t="s">
        <v>46</v>
      </c>
      <c r="AM38" s="69" t="s">
        <v>685</v>
      </c>
      <c r="AN38" s="82" t="s">
        <v>177</v>
      </c>
      <c r="AO38" s="82">
        <f>0.0088*1000</f>
        <v>8.8000000000000007</v>
      </c>
      <c r="AP38" s="82">
        <v>1.26E-2</v>
      </c>
      <c r="AQ38" s="91">
        <f>1430*Table13[[#This Row],[Amount of propellant per inhaler (from PIL) (g)12-13]]</f>
        <v>12584.000000000002</v>
      </c>
      <c r="AR38" s="69" t="s">
        <v>969</v>
      </c>
      <c r="AS38" s="69" t="s">
        <v>34</v>
      </c>
      <c r="AT38" s="69" t="s">
        <v>46</v>
      </c>
      <c r="AU38" s="69" t="s">
        <v>46</v>
      </c>
      <c r="AV38" s="69" t="s">
        <v>46</v>
      </c>
      <c r="AW38" s="69" t="s">
        <v>46</v>
      </c>
      <c r="AX38" s="69" t="s">
        <v>46</v>
      </c>
      <c r="AY38" s="69" t="s">
        <v>46</v>
      </c>
      <c r="AZ38" s="69" t="s">
        <v>46</v>
      </c>
      <c r="BA38" s="69" t="s">
        <v>46</v>
      </c>
      <c r="BB38" s="69" t="s">
        <v>46</v>
      </c>
      <c r="BC38" s="69" t="s">
        <v>46</v>
      </c>
      <c r="BD38" s="69" t="s">
        <v>46</v>
      </c>
      <c r="BE38" s="69" t="s">
        <v>46</v>
      </c>
      <c r="BF38" s="69" t="s">
        <v>46</v>
      </c>
      <c r="BG38" s="69" t="s">
        <v>46</v>
      </c>
      <c r="BH38" s="69" t="s">
        <v>46</v>
      </c>
      <c r="BI38" s="69" t="s">
        <v>46</v>
      </c>
      <c r="BJ38" s="69" t="s">
        <v>46</v>
      </c>
      <c r="BK38" s="69" t="s">
        <v>46</v>
      </c>
      <c r="BL38" s="69" t="s">
        <v>46</v>
      </c>
      <c r="BM38" s="75" t="s">
        <v>11</v>
      </c>
      <c r="BN38" s="75" t="s">
        <v>877</v>
      </c>
      <c r="BO38" s="72">
        <v>12210</v>
      </c>
      <c r="BP38" s="72">
        <v>12584.000000000002</v>
      </c>
      <c r="BQ38" s="75" t="s">
        <v>11</v>
      </c>
      <c r="BR38" s="72">
        <f>Table13[[#This Row],[Inhaler carbon footprint per inhaler in v2.37 (gCO2e) ]]-Table13[[#This Row],[Inhaler carbon footprint per inhaler in v2.36 (gCO2e) ]]</f>
        <v>374.00000000000182</v>
      </c>
      <c r="BS38" s="72" t="s">
        <v>1010</v>
      </c>
    </row>
    <row r="39" spans="1:71" ht="84.95" customHeight="1" x14ac:dyDescent="0.25">
      <c r="A39" s="69" t="s">
        <v>304</v>
      </c>
      <c r="B39" s="69" t="s">
        <v>43</v>
      </c>
      <c r="C39" s="69" t="s">
        <v>305</v>
      </c>
      <c r="D39" s="69" t="s">
        <v>12</v>
      </c>
      <c r="E39" s="69" t="s">
        <v>25</v>
      </c>
      <c r="F39" s="69" t="s">
        <v>13</v>
      </c>
      <c r="G39" s="69">
        <v>200</v>
      </c>
      <c r="H39" s="70">
        <v>7.42</v>
      </c>
      <c r="I39" s="70">
        <f t="shared" si="2"/>
        <v>3.7100000000000001E-2</v>
      </c>
      <c r="J39" s="69" t="s">
        <v>216</v>
      </c>
      <c r="K39" s="69" t="s">
        <v>60</v>
      </c>
      <c r="L39" s="69" t="s">
        <v>2</v>
      </c>
      <c r="M39" s="75" t="s">
        <v>8</v>
      </c>
      <c r="N39" s="75" t="s">
        <v>2</v>
      </c>
      <c r="O39" s="75" t="s">
        <v>699</v>
      </c>
      <c r="P39" s="75" t="s">
        <v>702</v>
      </c>
      <c r="Q39" s="75" t="s">
        <v>2</v>
      </c>
      <c r="R39" s="75" t="s">
        <v>2</v>
      </c>
      <c r="S39" s="75" t="s">
        <v>2</v>
      </c>
      <c r="T39" s="75" t="s">
        <v>2</v>
      </c>
      <c r="U39" s="75" t="s">
        <v>2</v>
      </c>
      <c r="V39" s="75" t="s">
        <v>2</v>
      </c>
      <c r="W39" s="75" t="s">
        <v>2</v>
      </c>
      <c r="X39" s="75" t="s">
        <v>2</v>
      </c>
      <c r="Y39" s="75" t="s">
        <v>716</v>
      </c>
      <c r="Z39" s="69" t="s">
        <v>8</v>
      </c>
      <c r="AA39" s="69" t="s">
        <v>715</v>
      </c>
      <c r="AB39" s="69" t="s">
        <v>715</v>
      </c>
      <c r="AC39" s="69" t="s">
        <v>1085</v>
      </c>
      <c r="AD39" s="72">
        <f>Table13[[#This Row],[Carbon footprint per inhaler attributed to propellant PrescQIPP calculated as gCO2e (from PIL or as assigned in the methodology)11-13]]</f>
        <v>17345.900000000001</v>
      </c>
      <c r="AE39" s="75" t="s">
        <v>530</v>
      </c>
      <c r="AF39" s="75" t="s">
        <v>11</v>
      </c>
      <c r="AG39" s="75" t="s">
        <v>46</v>
      </c>
      <c r="AH39" s="75" t="s">
        <v>46</v>
      </c>
      <c r="AI39" s="75" t="s">
        <v>46</v>
      </c>
      <c r="AJ39" s="72" t="str">
        <f>IF(Table13[[#This Row],[Indicative carbon footprint /inhaler (gCO2e) 7,8]]&gt;1796,"High","Low")</f>
        <v>High</v>
      </c>
      <c r="AK39" s="72" t="s">
        <v>587</v>
      </c>
      <c r="AL39" s="93" t="s">
        <v>1081</v>
      </c>
      <c r="AM39" s="70"/>
      <c r="AN39" s="69" t="s">
        <v>177</v>
      </c>
      <c r="AO39" s="69">
        <v>12.13</v>
      </c>
      <c r="AP39" s="69">
        <v>1.7000000000000001E-2</v>
      </c>
      <c r="AQ39" s="72">
        <f>1430*Table13[[#This Row],[Amount of propellant per inhaler (from PIL) (g)12-13]]</f>
        <v>17345.900000000001</v>
      </c>
      <c r="AR39" s="74" t="s">
        <v>61</v>
      </c>
      <c r="AS39" s="69" t="s">
        <v>11</v>
      </c>
      <c r="AT39" s="69" t="s">
        <v>62</v>
      </c>
      <c r="AU39" s="82">
        <f>1.15*Table13[[#This Row],[Doses per inhaler1,2]]</f>
        <v>229.99999999999997</v>
      </c>
      <c r="AV39" s="82">
        <f>0.49*Table13[[#This Row],[Doses per inhaler1,2]]</f>
        <v>98</v>
      </c>
      <c r="AW39" s="69">
        <f>0.66*Table13[[#This Row],[Doses per inhaler1,2]]</f>
        <v>132</v>
      </c>
      <c r="AX39" s="82">
        <f>0.07*Table13[[#This Row],[Doses per inhaler1,2]]</f>
        <v>14.000000000000002</v>
      </c>
      <c r="AY39" s="69">
        <f>0.81*Table13[[#This Row],[Doses per inhaler1,2]]</f>
        <v>162</v>
      </c>
      <c r="AZ39" s="69">
        <v>0</v>
      </c>
      <c r="BA39" s="82">
        <f>1.07*Table13[[#This Row],[Doses per inhaler1,2]]</f>
        <v>214</v>
      </c>
      <c r="BB39" s="82">
        <f>0.22*Table13[[#This Row],[Doses per inhaler1,2]]</f>
        <v>44</v>
      </c>
      <c r="BC39" s="82">
        <f>65.75*Table13[[#This Row],[Doses per inhaler1,2]]</f>
        <v>13150</v>
      </c>
      <c r="BD39" s="82">
        <f>12.53*Table13[[#This Row],[Doses per inhaler1,2]]</f>
        <v>2506</v>
      </c>
      <c r="BE39" s="69" t="s">
        <v>46</v>
      </c>
      <c r="BF39" s="69" t="s">
        <v>11</v>
      </c>
      <c r="BG39" s="98" t="s">
        <v>1056</v>
      </c>
      <c r="BH39" s="98" t="s">
        <v>811</v>
      </c>
      <c r="BI39" s="98" t="s">
        <v>11</v>
      </c>
      <c r="BJ39" s="99" t="s">
        <v>812</v>
      </c>
      <c r="BK39" s="69" t="s">
        <v>46</v>
      </c>
      <c r="BL39" s="69" t="s">
        <v>810</v>
      </c>
      <c r="BM39" s="75" t="s">
        <v>11</v>
      </c>
      <c r="BN39" s="75" t="s">
        <v>877</v>
      </c>
      <c r="BO39" s="72">
        <v>16552</v>
      </c>
      <c r="BP39" s="72">
        <v>17345.900000000001</v>
      </c>
      <c r="BQ39" s="75" t="s">
        <v>11</v>
      </c>
      <c r="BR39" s="72">
        <f>Table13[[#This Row],[Inhaler carbon footprint per inhaler in v2.37 (gCO2e) ]]-Table13[[#This Row],[Inhaler carbon footprint per inhaler in v2.36 (gCO2e) ]]</f>
        <v>793.90000000000146</v>
      </c>
      <c r="BS39" s="72">
        <f>Table13[[#This Row],[Inhaler carbon footprint per inhaler in v2.37 (gCO2e) ]]-Table13[[#This Row],[Inhaler carbon footprint per inhaler in v2.36 (gCO2e) ]]</f>
        <v>793.90000000000146</v>
      </c>
    </row>
    <row r="40" spans="1:71" ht="134.44999999999999" customHeight="1" x14ac:dyDescent="0.25">
      <c r="A40" s="69" t="s">
        <v>306</v>
      </c>
      <c r="B40" s="69" t="s">
        <v>43</v>
      </c>
      <c r="C40" s="69" t="s">
        <v>307</v>
      </c>
      <c r="D40" s="69" t="s">
        <v>12</v>
      </c>
      <c r="E40" s="69" t="s">
        <v>25</v>
      </c>
      <c r="F40" s="69" t="s">
        <v>13</v>
      </c>
      <c r="G40" s="69">
        <v>200</v>
      </c>
      <c r="H40" s="70">
        <v>16.170000000000002</v>
      </c>
      <c r="I40" s="70">
        <f t="shared" si="2"/>
        <v>8.0850000000000005E-2</v>
      </c>
      <c r="J40" s="69" t="s">
        <v>415</v>
      </c>
      <c r="K40" s="69" t="s">
        <v>60</v>
      </c>
      <c r="L40" s="69" t="s">
        <v>2</v>
      </c>
      <c r="M40" s="75" t="s">
        <v>8</v>
      </c>
      <c r="N40" s="75" t="s">
        <v>2</v>
      </c>
      <c r="O40" s="75" t="s">
        <v>700</v>
      </c>
      <c r="P40" s="75" t="s">
        <v>699</v>
      </c>
      <c r="Q40" s="75" t="s">
        <v>2</v>
      </c>
      <c r="R40" s="75" t="s">
        <v>2</v>
      </c>
      <c r="S40" s="75" t="s">
        <v>2</v>
      </c>
      <c r="T40" s="75"/>
      <c r="U40" s="75" t="s">
        <v>2</v>
      </c>
      <c r="V40" s="75" t="s">
        <v>2</v>
      </c>
      <c r="W40" s="75" t="s">
        <v>2</v>
      </c>
      <c r="X40" s="75" t="s">
        <v>2</v>
      </c>
      <c r="Y40" s="75" t="s">
        <v>716</v>
      </c>
      <c r="Z40" s="69" t="s">
        <v>8</v>
      </c>
      <c r="AA40" s="69" t="s">
        <v>715</v>
      </c>
      <c r="AB40" s="69" t="s">
        <v>715</v>
      </c>
      <c r="AC40" s="69" t="s">
        <v>1085</v>
      </c>
      <c r="AD40" s="72">
        <f>Table13[[#This Row],[Carbon footprint per inhaler attributed to propellant PrescQIPP calculated as gCO2e (from PIL or as assigned in the methodology)11-13]]</f>
        <v>17088.5</v>
      </c>
      <c r="AE40" s="75" t="s">
        <v>530</v>
      </c>
      <c r="AF40" s="75" t="s">
        <v>11</v>
      </c>
      <c r="AG40" s="75" t="s">
        <v>46</v>
      </c>
      <c r="AH40" s="75" t="s">
        <v>46</v>
      </c>
      <c r="AI40" s="75" t="s">
        <v>46</v>
      </c>
      <c r="AJ40" s="72" t="str">
        <f>IF(Table13[[#This Row],[Indicative carbon footprint /inhaler (gCO2e) 7,8]]&gt;1796,"High","Low")</f>
        <v>High</v>
      </c>
      <c r="AK40" s="72" t="s">
        <v>587</v>
      </c>
      <c r="AL40" s="93" t="s">
        <v>1081</v>
      </c>
      <c r="AM40" s="70"/>
      <c r="AN40" s="69" t="s">
        <v>177</v>
      </c>
      <c r="AO40" s="69">
        <v>11.95</v>
      </c>
      <c r="AP40" s="69">
        <v>1.7000000000000001E-2</v>
      </c>
      <c r="AQ40" s="72">
        <f>1430*Table13[[#This Row],[Amount of propellant per inhaler (from PIL) (g)12-13]]</f>
        <v>17088.5</v>
      </c>
      <c r="AR40" s="74" t="s">
        <v>63</v>
      </c>
      <c r="AS40" s="69" t="s">
        <v>11</v>
      </c>
      <c r="AT40" s="69" t="s">
        <v>62</v>
      </c>
      <c r="AU40" s="82">
        <f>1.14*Table13[[#This Row],[Doses per inhaler1,2]]</f>
        <v>227.99999999999997</v>
      </c>
      <c r="AV40" s="82">
        <f>0.49*Table13[[#This Row],[Doses per inhaler1,2]]</f>
        <v>98</v>
      </c>
      <c r="AW40" s="69">
        <f>0.66*Table13[[#This Row],[Doses per inhaler1,2]]</f>
        <v>132</v>
      </c>
      <c r="AX40" s="82">
        <f>0.07*Table13[[#This Row],[Doses per inhaler1,2]]</f>
        <v>14.000000000000002</v>
      </c>
      <c r="AY40" s="69">
        <f>0.81*Table13[[#This Row],[Doses per inhaler1,2]]</f>
        <v>162</v>
      </c>
      <c r="AZ40" s="69">
        <v>0</v>
      </c>
      <c r="BA40" s="82">
        <f>1.06*Table13[[#This Row],[Doses per inhaler1,2]]</f>
        <v>212</v>
      </c>
      <c r="BB40" s="82">
        <f>0.22*Table13[[#This Row],[Doses per inhaler1,2]]</f>
        <v>44</v>
      </c>
      <c r="BC40" s="82">
        <f>64.8*Table13[[#This Row],[Doses per inhaler1,2]]</f>
        <v>12960</v>
      </c>
      <c r="BD40" s="82">
        <f>12.35*Table13[[#This Row],[Doses per inhaler1,2]]</f>
        <v>2470</v>
      </c>
      <c r="BE40" s="69" t="s">
        <v>46</v>
      </c>
      <c r="BF40" s="69" t="s">
        <v>11</v>
      </c>
      <c r="BG40" s="98" t="s">
        <v>1056</v>
      </c>
      <c r="BH40" s="98" t="s">
        <v>811</v>
      </c>
      <c r="BI40" s="98" t="s">
        <v>11</v>
      </c>
      <c r="BJ40" s="99" t="s">
        <v>812</v>
      </c>
      <c r="BK40" s="69" t="s">
        <v>46</v>
      </c>
      <c r="BL40" s="69" t="s">
        <v>810</v>
      </c>
      <c r="BM40" s="75" t="s">
        <v>11</v>
      </c>
      <c r="BN40" s="75" t="s">
        <v>877</v>
      </c>
      <c r="BO40" s="72">
        <v>16322</v>
      </c>
      <c r="BP40" s="72">
        <v>17088.5</v>
      </c>
      <c r="BQ40" s="75" t="s">
        <v>11</v>
      </c>
      <c r="BR40" s="72">
        <f>Table13[[#This Row],[Inhaler carbon footprint per inhaler in v2.37 (gCO2e) ]]-Table13[[#This Row],[Inhaler carbon footprint per inhaler in v2.36 (gCO2e) ]]</f>
        <v>766.5</v>
      </c>
      <c r="BS40" s="72">
        <f>Table13[[#This Row],[Inhaler carbon footprint per inhaler in v2.37 (gCO2e) ]]-Table13[[#This Row],[Inhaler carbon footprint per inhaler in v2.36 (gCO2e) ]]</f>
        <v>766.5</v>
      </c>
    </row>
    <row r="41" spans="1:71" ht="63" customHeight="1" x14ac:dyDescent="0.25">
      <c r="A41" s="69" t="s">
        <v>308</v>
      </c>
      <c r="B41" s="69" t="s">
        <v>43</v>
      </c>
      <c r="C41" s="69" t="s">
        <v>309</v>
      </c>
      <c r="D41" s="69" t="s">
        <v>12</v>
      </c>
      <c r="E41" s="69" t="s">
        <v>25</v>
      </c>
      <c r="F41" s="69" t="s">
        <v>13</v>
      </c>
      <c r="G41" s="69">
        <v>200</v>
      </c>
      <c r="H41" s="70">
        <v>16.29</v>
      </c>
      <c r="I41" s="70">
        <f t="shared" si="2"/>
        <v>8.1449999999999995E-2</v>
      </c>
      <c r="J41" s="69" t="s">
        <v>415</v>
      </c>
      <c r="K41" s="69" t="s">
        <v>60</v>
      </c>
      <c r="L41" s="69" t="s">
        <v>2</v>
      </c>
      <c r="M41" s="75" t="s">
        <v>8</v>
      </c>
      <c r="N41" s="75" t="s">
        <v>2</v>
      </c>
      <c r="O41" s="75" t="s">
        <v>2</v>
      </c>
      <c r="P41" s="75" t="s">
        <v>2</v>
      </c>
      <c r="Q41" s="75" t="s">
        <v>709</v>
      </c>
      <c r="R41" s="75" t="s">
        <v>2</v>
      </c>
      <c r="S41" s="75" t="s">
        <v>2</v>
      </c>
      <c r="T41" s="75"/>
      <c r="U41" s="75" t="s">
        <v>2</v>
      </c>
      <c r="V41" s="75" t="s">
        <v>2</v>
      </c>
      <c r="W41" s="75" t="s">
        <v>2</v>
      </c>
      <c r="X41" s="75" t="s">
        <v>2</v>
      </c>
      <c r="Y41" s="75" t="s">
        <v>716</v>
      </c>
      <c r="Z41" s="69" t="s">
        <v>8</v>
      </c>
      <c r="AA41" s="69" t="s">
        <v>715</v>
      </c>
      <c r="AB41" s="69" t="s">
        <v>715</v>
      </c>
      <c r="AC41" s="69" t="s">
        <v>1085</v>
      </c>
      <c r="AD41" s="72">
        <f>Table13[[#This Row],[Carbon footprint per inhaler attributed to propellant PrescQIPP calculated as gCO2e (from PIL or as assigned in the methodology)11-13]]</f>
        <v>16845.399999999998</v>
      </c>
      <c r="AE41" s="75" t="s">
        <v>530</v>
      </c>
      <c r="AF41" s="75" t="s">
        <v>11</v>
      </c>
      <c r="AG41" s="75" t="s">
        <v>46</v>
      </c>
      <c r="AH41" s="75" t="s">
        <v>46</v>
      </c>
      <c r="AI41" s="75" t="s">
        <v>46</v>
      </c>
      <c r="AJ41" s="72" t="str">
        <f>IF(Table13[[#This Row],[Indicative carbon footprint /inhaler (gCO2e) 7,8]]&gt;1796,"High","Low")</f>
        <v>High</v>
      </c>
      <c r="AK41" s="72" t="s">
        <v>587</v>
      </c>
      <c r="AL41" s="93" t="s">
        <v>1081</v>
      </c>
      <c r="AM41" s="70"/>
      <c r="AN41" s="69" t="s">
        <v>177</v>
      </c>
      <c r="AO41" s="69">
        <v>11.78</v>
      </c>
      <c r="AP41" s="69">
        <v>1.7000000000000001E-2</v>
      </c>
      <c r="AQ41" s="72">
        <f>1430*Table13[[#This Row],[Amount of propellant per inhaler (from PIL) (g)12-13]]</f>
        <v>16845.399999999998</v>
      </c>
      <c r="AR41" s="74" t="s">
        <v>64</v>
      </c>
      <c r="AS41" s="69" t="s">
        <v>11</v>
      </c>
      <c r="AT41" s="69" t="s">
        <v>62</v>
      </c>
      <c r="AU41" s="82">
        <f>1.13*Table13[[#This Row],[Doses per inhaler1,2]]</f>
        <v>225.99999999999997</v>
      </c>
      <c r="AV41" s="82">
        <f>0.49*Table13[[#This Row],[Doses per inhaler1,2]]</f>
        <v>98</v>
      </c>
      <c r="AW41" s="69">
        <f>0.66*Table13[[#This Row],[Doses per inhaler1,2]]</f>
        <v>132</v>
      </c>
      <c r="AX41" s="82">
        <f>0.07*Table13[[#This Row],[Doses per inhaler1,2]]</f>
        <v>14.000000000000002</v>
      </c>
      <c r="AY41" s="69">
        <f>0.81*Table13[[#This Row],[Doses per inhaler1,2]]</f>
        <v>162</v>
      </c>
      <c r="AZ41" s="69">
        <v>0</v>
      </c>
      <c r="BA41" s="82">
        <f>1.06*Table13[[#This Row],[Doses per inhaler1,2]]</f>
        <v>212</v>
      </c>
      <c r="BB41" s="82">
        <f>0.22*Table13[[#This Row],[Doses per inhaler1,2]]</f>
        <v>44</v>
      </c>
      <c r="BC41" s="82">
        <f>63.86*Table13[[#This Row],[Doses per inhaler1,2]]</f>
        <v>12772</v>
      </c>
      <c r="BD41" s="82">
        <f>12.17*Table13[[#This Row],[Doses per inhaler1,2]]</f>
        <v>2434</v>
      </c>
      <c r="BE41" s="69" t="s">
        <v>46</v>
      </c>
      <c r="BF41" s="69" t="s">
        <v>34</v>
      </c>
      <c r="BG41" s="98" t="s">
        <v>1056</v>
      </c>
      <c r="BH41" s="69" t="s">
        <v>46</v>
      </c>
      <c r="BI41" s="69" t="s">
        <v>46</v>
      </c>
      <c r="BJ41" s="69" t="s">
        <v>46</v>
      </c>
      <c r="BK41" s="69" t="s">
        <v>46</v>
      </c>
      <c r="BL41" s="69" t="s">
        <v>810</v>
      </c>
      <c r="BM41" s="75" t="s">
        <v>11</v>
      </c>
      <c r="BN41" s="75" t="s">
        <v>877</v>
      </c>
      <c r="BO41" s="72">
        <v>16091.999999999998</v>
      </c>
      <c r="BP41" s="72">
        <v>16845.399999999998</v>
      </c>
      <c r="BQ41" s="75" t="s">
        <v>11</v>
      </c>
      <c r="BR41" s="72">
        <f>Table13[[#This Row],[Inhaler carbon footprint per inhaler in v2.37 (gCO2e) ]]-Table13[[#This Row],[Inhaler carbon footprint per inhaler in v2.36 (gCO2e) ]]</f>
        <v>753.39999999999964</v>
      </c>
      <c r="BS41" s="72">
        <f>Table13[[#This Row],[Inhaler carbon footprint per inhaler in v2.37 (gCO2e) ]]-Table13[[#This Row],[Inhaler carbon footprint per inhaler in v2.36 (gCO2e) ]]</f>
        <v>753.39999999999964</v>
      </c>
    </row>
    <row r="42" spans="1:71" ht="67.5" customHeight="1" x14ac:dyDescent="0.25">
      <c r="A42" s="69" t="s">
        <v>310</v>
      </c>
      <c r="B42" s="69" t="s">
        <v>43</v>
      </c>
      <c r="C42" s="69" t="s">
        <v>311</v>
      </c>
      <c r="D42" s="69" t="s">
        <v>12</v>
      </c>
      <c r="E42" s="69" t="s">
        <v>25</v>
      </c>
      <c r="F42" s="69" t="s">
        <v>13</v>
      </c>
      <c r="G42" s="69">
        <v>200</v>
      </c>
      <c r="H42" s="70">
        <v>3.7</v>
      </c>
      <c r="I42" s="70">
        <f t="shared" si="2"/>
        <v>1.8500000000000003E-2</v>
      </c>
      <c r="J42" s="69" t="s">
        <v>216</v>
      </c>
      <c r="K42" s="69" t="s">
        <v>60</v>
      </c>
      <c r="L42" s="69" t="s">
        <v>2</v>
      </c>
      <c r="M42" s="75" t="s">
        <v>8</v>
      </c>
      <c r="N42" s="75" t="s">
        <v>2</v>
      </c>
      <c r="O42" s="75" t="s">
        <v>703</v>
      </c>
      <c r="P42" s="75" t="s">
        <v>813</v>
      </c>
      <c r="Q42" s="75" t="s">
        <v>2</v>
      </c>
      <c r="R42" s="75" t="s">
        <v>2</v>
      </c>
      <c r="S42" s="75" t="s">
        <v>2</v>
      </c>
      <c r="T42" s="75" t="s">
        <v>2</v>
      </c>
      <c r="U42" s="75" t="s">
        <v>2</v>
      </c>
      <c r="V42" s="75" t="s">
        <v>2</v>
      </c>
      <c r="W42" s="75" t="s">
        <v>2</v>
      </c>
      <c r="X42" s="75" t="s">
        <v>2</v>
      </c>
      <c r="Y42" s="75" t="s">
        <v>716</v>
      </c>
      <c r="Z42" s="69" t="s">
        <v>8</v>
      </c>
      <c r="AA42" s="69" t="s">
        <v>715</v>
      </c>
      <c r="AB42" s="69" t="s">
        <v>715</v>
      </c>
      <c r="AC42" s="69" t="s">
        <v>1085</v>
      </c>
      <c r="AD42" s="72">
        <f>Table13[[#This Row],[Carbon footprint per inhaler attributed to propellant PrescQIPP calculated as gCO2e (from PIL or as assigned in the methodology)11-13]]</f>
        <v>17345.900000000001</v>
      </c>
      <c r="AE42" s="75" t="s">
        <v>530</v>
      </c>
      <c r="AF42" s="75" t="s">
        <v>11</v>
      </c>
      <c r="AG42" s="75" t="s">
        <v>46</v>
      </c>
      <c r="AH42" s="75" t="s">
        <v>46</v>
      </c>
      <c r="AI42" s="75" t="s">
        <v>46</v>
      </c>
      <c r="AJ42" s="72" t="str">
        <f>IF(Table13[[#This Row],[Indicative carbon footprint /inhaler (gCO2e) 7,8]]&gt;1796,"High","Low")</f>
        <v>High</v>
      </c>
      <c r="AK42" s="72" t="s">
        <v>587</v>
      </c>
      <c r="AL42" s="93" t="s">
        <v>1081</v>
      </c>
      <c r="AM42" s="70"/>
      <c r="AN42" s="69" t="s">
        <v>177</v>
      </c>
      <c r="AO42" s="69">
        <v>12.13</v>
      </c>
      <c r="AP42" s="69">
        <v>1.7000000000000001E-2</v>
      </c>
      <c r="AQ42" s="72">
        <f>1430*Table13[[#This Row],[Amount of propellant per inhaler (from PIL) (g)12-13]]</f>
        <v>17345.900000000001</v>
      </c>
      <c r="AR42" s="74" t="s">
        <v>65</v>
      </c>
      <c r="AS42" s="69" t="s">
        <v>11</v>
      </c>
      <c r="AT42" s="69" t="s">
        <v>66</v>
      </c>
      <c r="AU42" s="82">
        <f>1.15*Table13[[#This Row],[Doses per inhaler1,2]]</f>
        <v>229.99999999999997</v>
      </c>
      <c r="AV42" s="82">
        <f>0.49*Table13[[#This Row],[Doses per inhaler1,2]]</f>
        <v>98</v>
      </c>
      <c r="AW42" s="69">
        <f>0.66*Table13[[#This Row],[Doses per inhaler1,2]]</f>
        <v>132</v>
      </c>
      <c r="AX42" s="82">
        <f>0.07*Table13[[#This Row],[Doses per inhaler1,2]]</f>
        <v>14.000000000000002</v>
      </c>
      <c r="AY42" s="69">
        <f>0.81*Table13[[#This Row],[Doses per inhaler1,2]]</f>
        <v>162</v>
      </c>
      <c r="AZ42" s="69">
        <v>0</v>
      </c>
      <c r="BA42" s="82">
        <f>1.07*Table13[[#This Row],[Doses per inhaler1,2]]</f>
        <v>214</v>
      </c>
      <c r="BB42" s="82">
        <f>0.22*Table13[[#This Row],[Doses per inhaler1,2]]</f>
        <v>44</v>
      </c>
      <c r="BC42" s="82">
        <f>65.75*Table13[[#This Row],[Doses per inhaler1,2]]</f>
        <v>13150</v>
      </c>
      <c r="BD42" s="82">
        <f>12.53*Table13[[#This Row],[Doses per inhaler1,2]]</f>
        <v>2506</v>
      </c>
      <c r="BE42" s="69" t="s">
        <v>46</v>
      </c>
      <c r="BF42" s="69" t="s">
        <v>34</v>
      </c>
      <c r="BG42" s="98" t="s">
        <v>1056</v>
      </c>
      <c r="BH42" s="69" t="s">
        <v>46</v>
      </c>
      <c r="BI42" s="69" t="s">
        <v>46</v>
      </c>
      <c r="BJ42" s="69" t="s">
        <v>46</v>
      </c>
      <c r="BK42" s="69" t="s">
        <v>46</v>
      </c>
      <c r="BL42" s="69" t="s">
        <v>810</v>
      </c>
      <c r="BM42" s="75" t="s">
        <v>11</v>
      </c>
      <c r="BN42" s="75" t="s">
        <v>877</v>
      </c>
      <c r="BO42" s="72">
        <v>16550</v>
      </c>
      <c r="BP42" s="72">
        <v>17345.900000000001</v>
      </c>
      <c r="BQ42" s="75" t="s">
        <v>11</v>
      </c>
      <c r="BR42" s="72">
        <f>Table13[[#This Row],[Inhaler carbon footprint per inhaler in v2.37 (gCO2e) ]]-Table13[[#This Row],[Inhaler carbon footprint per inhaler in v2.36 (gCO2e) ]]</f>
        <v>795.90000000000146</v>
      </c>
      <c r="BS42" s="72">
        <f>Table13[[#This Row],[Inhaler carbon footprint per inhaler in v2.37 (gCO2e) ]]-Table13[[#This Row],[Inhaler carbon footprint per inhaler in v2.36 (gCO2e) ]]</f>
        <v>795.90000000000146</v>
      </c>
    </row>
    <row r="43" spans="1:71" ht="92.45" customHeight="1" x14ac:dyDescent="0.25">
      <c r="A43" s="69" t="s">
        <v>312</v>
      </c>
      <c r="B43" s="69" t="s">
        <v>70</v>
      </c>
      <c r="C43" s="69" t="s">
        <v>749</v>
      </c>
      <c r="D43" s="69" t="s">
        <v>12</v>
      </c>
      <c r="E43" s="69" t="s">
        <v>6</v>
      </c>
      <c r="F43" s="69" t="s">
        <v>13</v>
      </c>
      <c r="G43" s="69">
        <v>120</v>
      </c>
      <c r="H43" s="70">
        <v>10.48</v>
      </c>
      <c r="I43" s="70">
        <f t="shared" si="2"/>
        <v>8.7333333333333332E-2</v>
      </c>
      <c r="J43" s="69" t="s">
        <v>26</v>
      </c>
      <c r="K43" s="69" t="s">
        <v>26</v>
      </c>
      <c r="L43" s="69" t="s">
        <v>8</v>
      </c>
      <c r="M43" s="69" t="s">
        <v>8</v>
      </c>
      <c r="N43" s="69" t="s">
        <v>2</v>
      </c>
      <c r="O43" s="69" t="s">
        <v>2</v>
      </c>
      <c r="P43" s="69" t="s">
        <v>2</v>
      </c>
      <c r="Q43" s="75" t="s">
        <v>2</v>
      </c>
      <c r="R43" s="69" t="s">
        <v>2</v>
      </c>
      <c r="S43" s="69" t="s">
        <v>699</v>
      </c>
      <c r="T43" s="69" t="s">
        <v>2</v>
      </c>
      <c r="U43" s="75" t="s">
        <v>2</v>
      </c>
      <c r="V43" s="75" t="s">
        <v>2</v>
      </c>
      <c r="W43" s="75" t="s">
        <v>2</v>
      </c>
      <c r="X43" s="75" t="s">
        <v>2</v>
      </c>
      <c r="Y43" s="75" t="s">
        <v>720</v>
      </c>
      <c r="Z43" s="69" t="s">
        <v>8</v>
      </c>
      <c r="AA43" s="69" t="s">
        <v>725</v>
      </c>
      <c r="AB43" s="69" t="s">
        <v>725</v>
      </c>
      <c r="AC43" s="69" t="s">
        <v>783</v>
      </c>
      <c r="AD43" s="72">
        <f>Table13[[#This Row],[Carbon footprint per inhaler attributed to propellant PrescQIPP calculated as gCO2e (from PIL or as assigned in the methodology)11-13]]</f>
        <v>16015.999999999998</v>
      </c>
      <c r="AE43" s="75" t="s">
        <v>530</v>
      </c>
      <c r="AF43" s="75" t="s">
        <v>46</v>
      </c>
      <c r="AG43" s="75" t="s">
        <v>46</v>
      </c>
      <c r="AH43" s="75" t="s">
        <v>46</v>
      </c>
      <c r="AI43" s="75" t="s">
        <v>46</v>
      </c>
      <c r="AJ43" s="72" t="str">
        <f>IF(Table13[[#This Row],[Indicative carbon footprint /inhaler (gCO2e) 7,8]]&gt;1796,"High","Low")</f>
        <v>High</v>
      </c>
      <c r="AK43" s="75" t="s">
        <v>46</v>
      </c>
      <c r="AL43" s="72" t="s">
        <v>46</v>
      </c>
      <c r="AM43" s="70" t="s">
        <v>46</v>
      </c>
      <c r="AN43" s="69" t="s">
        <v>177</v>
      </c>
      <c r="AO43" s="90">
        <v>11.2</v>
      </c>
      <c r="AP43" s="69">
        <v>1.6E-2</v>
      </c>
      <c r="AQ43" s="72">
        <f>1430*Table13[[#This Row],[Amount of propellant per inhaler (from PIL) (g)12-13]]</f>
        <v>16015.999999999998</v>
      </c>
      <c r="AR43" s="74" t="s">
        <v>71</v>
      </c>
      <c r="AS43" s="69" t="s">
        <v>11</v>
      </c>
      <c r="AT43" s="69" t="s">
        <v>72</v>
      </c>
      <c r="AU43" s="69" t="s">
        <v>46</v>
      </c>
      <c r="AV43" s="69" t="s">
        <v>46</v>
      </c>
      <c r="AW43" s="69" t="s">
        <v>46</v>
      </c>
      <c r="AX43" s="69" t="s">
        <v>46</v>
      </c>
      <c r="AY43" s="69" t="s">
        <v>46</v>
      </c>
      <c r="AZ43" s="69" t="s">
        <v>46</v>
      </c>
      <c r="BA43" s="69" t="s">
        <v>46</v>
      </c>
      <c r="BB43" s="69" t="s">
        <v>46</v>
      </c>
      <c r="BC43" s="69">
        <f>AD43</f>
        <v>16015.999999999998</v>
      </c>
      <c r="BD43" s="69" t="s">
        <v>46</v>
      </c>
      <c r="BE43" s="69" t="s">
        <v>46</v>
      </c>
      <c r="BF43" s="69" t="s">
        <v>73</v>
      </c>
      <c r="BG43" s="69" t="s">
        <v>2</v>
      </c>
      <c r="BH43" s="69" t="s">
        <v>46</v>
      </c>
      <c r="BI43" s="69" t="s">
        <v>46</v>
      </c>
      <c r="BJ43" s="69" t="s">
        <v>46</v>
      </c>
      <c r="BK43" s="69" t="s">
        <v>46</v>
      </c>
      <c r="BL43" s="69" t="s">
        <v>74</v>
      </c>
      <c r="BM43" s="75" t="s">
        <v>11</v>
      </c>
      <c r="BN43" s="75" t="s">
        <v>878</v>
      </c>
      <c r="BO43" s="72">
        <v>16087.5</v>
      </c>
      <c r="BP43" s="72">
        <v>16015.999999999998</v>
      </c>
      <c r="BQ43" s="75" t="s">
        <v>11</v>
      </c>
      <c r="BR43" s="72">
        <f>Table13[[#This Row],[Inhaler carbon footprint per inhaler in v2.37 (gCO2e) ]]-Table13[[#This Row],[Inhaler carbon footprint per inhaler in v2.36 (gCO2e) ]]</f>
        <v>-71.500000000001819</v>
      </c>
      <c r="BS43" s="72">
        <f>Table13[[#This Row],[Inhaler carbon footprint per inhaler in v2.37 (gCO2e) ]]-Table13[[#This Row],[Inhaler carbon footprint per inhaler in v2.36 (gCO2e) ]]</f>
        <v>-71.500000000001819</v>
      </c>
    </row>
    <row r="44" spans="1:71" ht="78" customHeight="1" x14ac:dyDescent="0.25">
      <c r="A44" s="69" t="s">
        <v>313</v>
      </c>
      <c r="B44" s="69" t="s">
        <v>70</v>
      </c>
      <c r="C44" s="69" t="s">
        <v>750</v>
      </c>
      <c r="D44" s="69" t="s">
        <v>12</v>
      </c>
      <c r="E44" s="69" t="s">
        <v>6</v>
      </c>
      <c r="F44" s="69" t="s">
        <v>13</v>
      </c>
      <c r="G44" s="69">
        <v>120</v>
      </c>
      <c r="H44" s="70">
        <v>13.99</v>
      </c>
      <c r="I44" s="70">
        <f t="shared" si="2"/>
        <v>0.11658333333333333</v>
      </c>
      <c r="J44" s="69" t="s">
        <v>26</v>
      </c>
      <c r="K44" s="69" t="s">
        <v>26</v>
      </c>
      <c r="L44" s="69" t="s">
        <v>8</v>
      </c>
      <c r="M44" s="69" t="s">
        <v>8</v>
      </c>
      <c r="N44" s="69" t="s">
        <v>2</v>
      </c>
      <c r="O44" s="69" t="s">
        <v>2</v>
      </c>
      <c r="P44" s="69" t="s">
        <v>2</v>
      </c>
      <c r="Q44" s="75" t="s">
        <v>2</v>
      </c>
      <c r="R44" s="69" t="s">
        <v>2</v>
      </c>
      <c r="S44" s="69" t="s">
        <v>2</v>
      </c>
      <c r="T44" s="69" t="s">
        <v>699</v>
      </c>
      <c r="U44" s="75" t="s">
        <v>2</v>
      </c>
      <c r="V44" s="75" t="s">
        <v>2</v>
      </c>
      <c r="W44" s="75" t="s">
        <v>2</v>
      </c>
      <c r="X44" s="75" t="s">
        <v>2</v>
      </c>
      <c r="Y44" s="75" t="s">
        <v>720</v>
      </c>
      <c r="Z44" s="69" t="s">
        <v>8</v>
      </c>
      <c r="AA44" s="69" t="s">
        <v>725</v>
      </c>
      <c r="AB44" s="69" t="s">
        <v>725</v>
      </c>
      <c r="AC44" s="69" t="s">
        <v>783</v>
      </c>
      <c r="AD44" s="72">
        <f>Table13[[#This Row],[Carbon footprint per inhaler attributed to propellant PrescQIPP calculated as gCO2e (from PIL or as assigned in the methodology)11-13]]</f>
        <v>16015.999999999998</v>
      </c>
      <c r="AE44" s="75" t="s">
        <v>530</v>
      </c>
      <c r="AF44" s="75" t="s">
        <v>46</v>
      </c>
      <c r="AG44" s="75" t="s">
        <v>46</v>
      </c>
      <c r="AH44" s="75" t="s">
        <v>46</v>
      </c>
      <c r="AI44" s="75" t="s">
        <v>46</v>
      </c>
      <c r="AJ44" s="72" t="str">
        <f>IF(Table13[[#This Row],[Indicative carbon footprint /inhaler (gCO2e) 7,8]]&gt;1796,"High","Low")</f>
        <v>High</v>
      </c>
      <c r="AK44" s="75" t="s">
        <v>46</v>
      </c>
      <c r="AL44" s="72" t="s">
        <v>46</v>
      </c>
      <c r="AM44" s="70" t="s">
        <v>46</v>
      </c>
      <c r="AN44" s="69" t="s">
        <v>177</v>
      </c>
      <c r="AO44" s="90">
        <v>11.2</v>
      </c>
      <c r="AP44" s="69">
        <v>1.6E-2</v>
      </c>
      <c r="AQ44" s="72">
        <f>1430*Table13[[#This Row],[Amount of propellant per inhaler (from PIL) (g)12-13]]</f>
        <v>16015.999999999998</v>
      </c>
      <c r="AR44" s="74" t="s">
        <v>75</v>
      </c>
      <c r="AS44" s="69" t="s">
        <v>11</v>
      </c>
      <c r="AT44" s="69" t="s">
        <v>72</v>
      </c>
      <c r="AU44" s="69" t="s">
        <v>46</v>
      </c>
      <c r="AV44" s="69" t="s">
        <v>46</v>
      </c>
      <c r="AW44" s="69" t="s">
        <v>46</v>
      </c>
      <c r="AX44" s="69" t="s">
        <v>46</v>
      </c>
      <c r="AY44" s="69" t="s">
        <v>46</v>
      </c>
      <c r="AZ44" s="69" t="s">
        <v>46</v>
      </c>
      <c r="BA44" s="69" t="s">
        <v>46</v>
      </c>
      <c r="BB44" s="69" t="s">
        <v>46</v>
      </c>
      <c r="BC44" s="69">
        <f>AD44</f>
        <v>16015.999999999998</v>
      </c>
      <c r="BD44" s="69" t="s">
        <v>46</v>
      </c>
      <c r="BE44" s="69" t="s">
        <v>46</v>
      </c>
      <c r="BF44" s="69" t="s">
        <v>73</v>
      </c>
      <c r="BG44" s="69" t="s">
        <v>2</v>
      </c>
      <c r="BH44" s="69" t="s">
        <v>46</v>
      </c>
      <c r="BI44" s="69" t="s">
        <v>46</v>
      </c>
      <c r="BJ44" s="69" t="s">
        <v>46</v>
      </c>
      <c r="BK44" s="69" t="s">
        <v>46</v>
      </c>
      <c r="BL44" s="69" t="s">
        <v>74</v>
      </c>
      <c r="BM44" s="75" t="s">
        <v>11</v>
      </c>
      <c r="BN44" s="75" t="s">
        <v>878</v>
      </c>
      <c r="BO44" s="72">
        <v>16087.5</v>
      </c>
      <c r="BP44" s="72">
        <v>16015.999999999998</v>
      </c>
      <c r="BQ44" s="75" t="s">
        <v>11</v>
      </c>
      <c r="BR44" s="72">
        <f>Table13[[#This Row],[Inhaler carbon footprint per inhaler in v2.37 (gCO2e) ]]-Table13[[#This Row],[Inhaler carbon footprint per inhaler in v2.36 (gCO2e) ]]</f>
        <v>-71.500000000001819</v>
      </c>
      <c r="BS44" s="72">
        <f>Table13[[#This Row],[Inhaler carbon footprint per inhaler in v2.37 (gCO2e) ]]-Table13[[#This Row],[Inhaler carbon footprint per inhaler in v2.36 (gCO2e) ]]</f>
        <v>-71.500000000001819</v>
      </c>
    </row>
    <row r="45" spans="1:71" ht="74.45" customHeight="1" x14ac:dyDescent="0.25">
      <c r="A45" s="69" t="s">
        <v>314</v>
      </c>
      <c r="B45" s="69" t="s">
        <v>70</v>
      </c>
      <c r="C45" s="69" t="s">
        <v>751</v>
      </c>
      <c r="D45" s="69" t="s">
        <v>12</v>
      </c>
      <c r="E45" s="69" t="s">
        <v>6</v>
      </c>
      <c r="F45" s="69" t="s">
        <v>13</v>
      </c>
      <c r="G45" s="69">
        <v>120</v>
      </c>
      <c r="H45" s="70">
        <v>13.5</v>
      </c>
      <c r="I45" s="70">
        <f t="shared" si="2"/>
        <v>0.1125</v>
      </c>
      <c r="J45" s="69" t="s">
        <v>19</v>
      </c>
      <c r="K45" s="69" t="s">
        <v>76</v>
      </c>
      <c r="L45" s="69" t="s">
        <v>8</v>
      </c>
      <c r="M45" s="69" t="s">
        <v>8</v>
      </c>
      <c r="N45" s="69" t="s">
        <v>2</v>
      </c>
      <c r="O45" s="69" t="s">
        <v>2</v>
      </c>
      <c r="P45" s="69" t="s">
        <v>2</v>
      </c>
      <c r="Q45" s="75" t="s">
        <v>2</v>
      </c>
      <c r="R45" s="69" t="s">
        <v>699</v>
      </c>
      <c r="S45" s="69" t="s">
        <v>2</v>
      </c>
      <c r="T45" s="69" t="s">
        <v>2</v>
      </c>
      <c r="U45" s="75" t="s">
        <v>2</v>
      </c>
      <c r="V45" s="75" t="s">
        <v>2</v>
      </c>
      <c r="W45" s="75" t="s">
        <v>2</v>
      </c>
      <c r="X45" s="75" t="s">
        <v>2</v>
      </c>
      <c r="Y45" s="75" t="s">
        <v>720</v>
      </c>
      <c r="Z45" s="69" t="s">
        <v>8</v>
      </c>
      <c r="AA45" s="69" t="s">
        <v>725</v>
      </c>
      <c r="AB45" s="69" t="s">
        <v>725</v>
      </c>
      <c r="AC45" s="69" t="s">
        <v>783</v>
      </c>
      <c r="AD45" s="72">
        <f>Table13[[#This Row],[Carbon footprint per inhaler attributed to propellant PrescQIPP calculated as gCO2e (from PIL or as assigned in the methodology)11-13]]</f>
        <v>16015.999999999998</v>
      </c>
      <c r="AE45" s="75" t="s">
        <v>530</v>
      </c>
      <c r="AF45" s="75" t="s">
        <v>46</v>
      </c>
      <c r="AG45" s="75" t="s">
        <v>46</v>
      </c>
      <c r="AH45" s="75" t="s">
        <v>46</v>
      </c>
      <c r="AI45" s="75" t="s">
        <v>46</v>
      </c>
      <c r="AJ45" s="72" t="str">
        <f>IF(Table13[[#This Row],[Indicative carbon footprint /inhaler (gCO2e) 7,8]]&gt;1796,"High","Low")</f>
        <v>High</v>
      </c>
      <c r="AK45" s="75" t="s">
        <v>46</v>
      </c>
      <c r="AL45" s="72" t="s">
        <v>46</v>
      </c>
      <c r="AM45" s="70" t="s">
        <v>46</v>
      </c>
      <c r="AN45" s="69" t="s">
        <v>177</v>
      </c>
      <c r="AO45" s="90">
        <v>11.2</v>
      </c>
      <c r="AP45" s="69">
        <v>1.6E-2</v>
      </c>
      <c r="AQ45" s="72">
        <f>1430*Table13[[#This Row],[Amount of propellant per inhaler (from PIL) (g)12-13]]</f>
        <v>16015.999999999998</v>
      </c>
      <c r="AR45" s="74" t="s">
        <v>77</v>
      </c>
      <c r="AS45" s="69" t="s">
        <v>11</v>
      </c>
      <c r="AT45" s="69" t="s">
        <v>72</v>
      </c>
      <c r="AU45" s="69" t="s">
        <v>46</v>
      </c>
      <c r="AV45" s="69" t="s">
        <v>46</v>
      </c>
      <c r="AW45" s="69" t="s">
        <v>46</v>
      </c>
      <c r="AX45" s="69" t="s">
        <v>46</v>
      </c>
      <c r="AY45" s="69" t="s">
        <v>46</v>
      </c>
      <c r="AZ45" s="69" t="s">
        <v>46</v>
      </c>
      <c r="BA45" s="69" t="s">
        <v>46</v>
      </c>
      <c r="BB45" s="69" t="s">
        <v>46</v>
      </c>
      <c r="BC45" s="69">
        <f>AD45</f>
        <v>16015.999999999998</v>
      </c>
      <c r="BD45" s="69" t="s">
        <v>46</v>
      </c>
      <c r="BE45" s="69" t="s">
        <v>46</v>
      </c>
      <c r="BF45" s="69" t="s">
        <v>73</v>
      </c>
      <c r="BG45" s="69" t="s">
        <v>2</v>
      </c>
      <c r="BH45" s="69" t="s">
        <v>46</v>
      </c>
      <c r="BI45" s="69" t="s">
        <v>46</v>
      </c>
      <c r="BJ45" s="69" t="s">
        <v>46</v>
      </c>
      <c r="BK45" s="69" t="s">
        <v>46</v>
      </c>
      <c r="BL45" s="69" t="s">
        <v>74</v>
      </c>
      <c r="BM45" s="75" t="s">
        <v>11</v>
      </c>
      <c r="BN45" s="75" t="s">
        <v>878</v>
      </c>
      <c r="BO45" s="72">
        <v>16087.5</v>
      </c>
      <c r="BP45" s="72">
        <v>16015.999999999998</v>
      </c>
      <c r="BQ45" s="75" t="s">
        <v>11</v>
      </c>
      <c r="BR45" s="72">
        <f>Table13[[#This Row],[Inhaler carbon footprint per inhaler in v2.37 (gCO2e) ]]-Table13[[#This Row],[Inhaler carbon footprint per inhaler in v2.36 (gCO2e) ]]</f>
        <v>-71.500000000001819</v>
      </c>
      <c r="BS45" s="72">
        <f>Table13[[#This Row],[Inhaler carbon footprint per inhaler in v2.37 (gCO2e) ]]-Table13[[#This Row],[Inhaler carbon footprint per inhaler in v2.36 (gCO2e) ]]</f>
        <v>-71.500000000001819</v>
      </c>
    </row>
    <row r="46" spans="1:71" ht="55.5" customHeight="1" x14ac:dyDescent="0.25">
      <c r="A46" s="69" t="s">
        <v>655</v>
      </c>
      <c r="B46" s="69" t="s">
        <v>24</v>
      </c>
      <c r="C46" s="69" t="s">
        <v>408</v>
      </c>
      <c r="D46" s="69" t="s">
        <v>32</v>
      </c>
      <c r="E46" s="69" t="s">
        <v>33</v>
      </c>
      <c r="F46" s="69" t="s">
        <v>3</v>
      </c>
      <c r="G46" s="69">
        <v>60</v>
      </c>
      <c r="H46" s="70">
        <v>32.5</v>
      </c>
      <c r="I46" s="70">
        <f t="shared" si="2"/>
        <v>0.54166666666666663</v>
      </c>
      <c r="J46" s="69" t="s">
        <v>7</v>
      </c>
      <c r="K46" s="69" t="s">
        <v>7</v>
      </c>
      <c r="L46" s="69" t="s">
        <v>2</v>
      </c>
      <c r="M46" s="75" t="s">
        <v>8</v>
      </c>
      <c r="N46" s="75" t="s">
        <v>2</v>
      </c>
      <c r="O46" s="75" t="s">
        <v>2</v>
      </c>
      <c r="P46" s="75" t="s">
        <v>2</v>
      </c>
      <c r="Q46" s="75" t="s">
        <v>2</v>
      </c>
      <c r="R46" s="75" t="s">
        <v>2</v>
      </c>
      <c r="S46" s="75" t="s">
        <v>2</v>
      </c>
      <c r="T46" s="75" t="s">
        <v>2</v>
      </c>
      <c r="U46" s="75" t="s">
        <v>2</v>
      </c>
      <c r="V46" s="75" t="s">
        <v>2</v>
      </c>
      <c r="W46" s="75" t="s">
        <v>2</v>
      </c>
      <c r="X46" s="75" t="s">
        <v>2</v>
      </c>
      <c r="Y46" s="75" t="s">
        <v>2</v>
      </c>
      <c r="Z46" s="69" t="s">
        <v>79</v>
      </c>
      <c r="AA46" s="69" t="s">
        <v>715</v>
      </c>
      <c r="AB46" s="69" t="s">
        <v>794</v>
      </c>
      <c r="AC46" s="69" t="s">
        <v>914</v>
      </c>
      <c r="AD46" s="72">
        <v>550.20000000000005</v>
      </c>
      <c r="AE46" s="75" t="s">
        <v>9</v>
      </c>
      <c r="AF46" s="75" t="s">
        <v>46</v>
      </c>
      <c r="AG46" s="75" t="s">
        <v>46</v>
      </c>
      <c r="AH46" s="75" t="s">
        <v>46</v>
      </c>
      <c r="AI46" s="75" t="s">
        <v>46</v>
      </c>
      <c r="AJ46" s="72" t="str">
        <f>IF(Table13[[#This Row],[Indicative carbon footprint /inhaler (gCO2e) 7,8]]&gt;1796,"High","Low")</f>
        <v>Low</v>
      </c>
      <c r="AK46" s="75" t="s">
        <v>46</v>
      </c>
      <c r="AL46" s="72" t="s">
        <v>46</v>
      </c>
      <c r="AM46" s="70"/>
      <c r="AN46" s="69" t="s">
        <v>2</v>
      </c>
      <c r="AO46" s="69" t="s">
        <v>2</v>
      </c>
      <c r="AP46" s="69" t="s">
        <v>2</v>
      </c>
      <c r="AQ46" s="69" t="s">
        <v>2</v>
      </c>
      <c r="AR46" s="74" t="s">
        <v>78</v>
      </c>
      <c r="AS46" s="69" t="s">
        <v>34</v>
      </c>
      <c r="AT46" s="69" t="s">
        <v>257</v>
      </c>
      <c r="AU46" s="69" t="s">
        <v>46</v>
      </c>
      <c r="AV46" s="69" t="s">
        <v>46</v>
      </c>
      <c r="AW46" s="69" t="s">
        <v>46</v>
      </c>
      <c r="AX46" s="69" t="s">
        <v>46</v>
      </c>
      <c r="AY46" s="69" t="s">
        <v>46</v>
      </c>
      <c r="AZ46" s="69" t="s">
        <v>46</v>
      </c>
      <c r="BA46" s="69" t="s">
        <v>46</v>
      </c>
      <c r="BB46" s="69" t="s">
        <v>46</v>
      </c>
      <c r="BC46" s="69" t="s">
        <v>46</v>
      </c>
      <c r="BD46" s="69" t="s">
        <v>46</v>
      </c>
      <c r="BE46" s="69" t="s">
        <v>46</v>
      </c>
      <c r="BF46" s="69" t="s">
        <v>2</v>
      </c>
      <c r="BG46" s="69" t="s">
        <v>2</v>
      </c>
      <c r="BH46" s="69" t="s">
        <v>2</v>
      </c>
      <c r="BI46" s="69" t="s">
        <v>2</v>
      </c>
      <c r="BJ46" s="69" t="s">
        <v>2</v>
      </c>
      <c r="BK46" s="69" t="s">
        <v>2</v>
      </c>
      <c r="BL46" s="69" t="s">
        <v>46</v>
      </c>
      <c r="BM46" s="75" t="s">
        <v>843</v>
      </c>
      <c r="BN46" s="75" t="s">
        <v>2</v>
      </c>
      <c r="BO46" s="72">
        <v>550.20000000000005</v>
      </c>
      <c r="BP46" s="72">
        <v>550.20000000000005</v>
      </c>
      <c r="BQ46" s="75" t="s">
        <v>34</v>
      </c>
      <c r="BR46" s="72">
        <f>Table13[[#This Row],[Inhaler carbon footprint per inhaler in v2.37 (gCO2e) ]]-Table13[[#This Row],[Inhaler carbon footprint per inhaler in v2.36 (gCO2e) ]]</f>
        <v>0</v>
      </c>
      <c r="BS46" s="72" t="s">
        <v>809</v>
      </c>
    </row>
    <row r="47" spans="1:71" ht="81.95" customHeight="1" x14ac:dyDescent="0.25">
      <c r="A47" s="69" t="s">
        <v>315</v>
      </c>
      <c r="B47" s="69" t="s">
        <v>16</v>
      </c>
      <c r="C47" s="69" t="s">
        <v>753</v>
      </c>
      <c r="D47" s="69" t="s">
        <v>5</v>
      </c>
      <c r="E47" s="69" t="s">
        <v>6</v>
      </c>
      <c r="F47" s="69" t="s">
        <v>3</v>
      </c>
      <c r="G47" s="69">
        <v>120</v>
      </c>
      <c r="H47" s="70">
        <v>27.97</v>
      </c>
      <c r="I47" s="70">
        <f t="shared" si="2"/>
        <v>0.23308333333333334</v>
      </c>
      <c r="J47" s="69" t="s">
        <v>498</v>
      </c>
      <c r="K47" s="69" t="s">
        <v>745</v>
      </c>
      <c r="L47" s="69" t="s">
        <v>79</v>
      </c>
      <c r="M47" s="69" t="s">
        <v>79</v>
      </c>
      <c r="N47" s="69" t="s">
        <v>744</v>
      </c>
      <c r="O47" s="69" t="s">
        <v>2</v>
      </c>
      <c r="P47" s="69" t="s">
        <v>2</v>
      </c>
      <c r="Q47" s="75" t="s">
        <v>2</v>
      </c>
      <c r="R47" s="69" t="s">
        <v>700</v>
      </c>
      <c r="S47" s="69" t="s">
        <v>699</v>
      </c>
      <c r="T47" s="69" t="s">
        <v>2</v>
      </c>
      <c r="U47" s="95" t="s">
        <v>1119</v>
      </c>
      <c r="V47" s="95" t="s">
        <v>698</v>
      </c>
      <c r="W47" s="96">
        <v>19.579000000000001</v>
      </c>
      <c r="X47" s="96">
        <v>32.631666666666668</v>
      </c>
      <c r="Y47" s="75" t="s">
        <v>718</v>
      </c>
      <c r="Z47" s="69" t="s">
        <v>79</v>
      </c>
      <c r="AA47" s="69" t="s">
        <v>715</v>
      </c>
      <c r="AB47" s="69" t="s">
        <v>869</v>
      </c>
      <c r="AC47" s="69" t="s">
        <v>870</v>
      </c>
      <c r="AD47" s="72">
        <v>630</v>
      </c>
      <c r="AE47" s="75" t="s">
        <v>9</v>
      </c>
      <c r="AF47" s="75" t="s">
        <v>2</v>
      </c>
      <c r="AG47" s="75" t="s">
        <v>809</v>
      </c>
      <c r="AH47" s="75" t="s">
        <v>34</v>
      </c>
      <c r="AI47" s="75" t="s">
        <v>809</v>
      </c>
      <c r="AJ47" s="72" t="str">
        <f>IF(Table13[[#This Row],[Indicative carbon footprint /inhaler (gCO2e) 7,8]]&gt;1796,"High","Low")</f>
        <v>Low</v>
      </c>
      <c r="AK47" s="75" t="s">
        <v>46</v>
      </c>
      <c r="AL47" s="72" t="s">
        <v>46</v>
      </c>
      <c r="AM47" s="69" t="s">
        <v>458</v>
      </c>
      <c r="AN47" s="69" t="s">
        <v>2</v>
      </c>
      <c r="AO47" s="69" t="s">
        <v>2</v>
      </c>
      <c r="AP47" s="69" t="s">
        <v>2</v>
      </c>
      <c r="AQ47" s="69" t="s">
        <v>2</v>
      </c>
      <c r="AR47" s="74" t="s">
        <v>80</v>
      </c>
      <c r="AS47" s="69" t="s">
        <v>34</v>
      </c>
      <c r="AT47" s="69" t="s">
        <v>46</v>
      </c>
      <c r="AU47" s="69" t="s">
        <v>46</v>
      </c>
      <c r="AV47" s="69" t="s">
        <v>46</v>
      </c>
      <c r="AW47" s="69" t="s">
        <v>46</v>
      </c>
      <c r="AX47" s="69" t="s">
        <v>46</v>
      </c>
      <c r="AY47" s="69" t="s">
        <v>46</v>
      </c>
      <c r="AZ47" s="69" t="s">
        <v>46</v>
      </c>
      <c r="BA47" s="69" t="s">
        <v>46</v>
      </c>
      <c r="BB47" s="69" t="s">
        <v>46</v>
      </c>
      <c r="BC47" s="69" t="s">
        <v>46</v>
      </c>
      <c r="BD47" s="69" t="s">
        <v>46</v>
      </c>
      <c r="BE47" s="69" t="s">
        <v>46</v>
      </c>
      <c r="BF47" s="69" t="s">
        <v>2</v>
      </c>
      <c r="BG47" s="69" t="s">
        <v>2</v>
      </c>
      <c r="BH47" s="69" t="s">
        <v>2</v>
      </c>
      <c r="BI47" s="69" t="s">
        <v>2</v>
      </c>
      <c r="BJ47" s="69" t="s">
        <v>2</v>
      </c>
      <c r="BK47" s="69" t="s">
        <v>2</v>
      </c>
      <c r="BL47" s="69" t="s">
        <v>46</v>
      </c>
      <c r="BM47" s="75" t="s">
        <v>11</v>
      </c>
      <c r="BN47" s="75" t="s">
        <v>2</v>
      </c>
      <c r="BO47" s="72">
        <v>630</v>
      </c>
      <c r="BP47" s="72">
        <v>630</v>
      </c>
      <c r="BQ47" s="75" t="s">
        <v>34</v>
      </c>
      <c r="BR47" s="72">
        <f>Table13[[#This Row],[Inhaler carbon footprint per inhaler in v2.37 (gCO2e) ]]-Table13[[#This Row],[Inhaler carbon footprint per inhaler in v2.36 (gCO2e) ]]</f>
        <v>0</v>
      </c>
      <c r="BS47" s="72" t="s">
        <v>809</v>
      </c>
    </row>
    <row r="48" spans="1:71" ht="40.5" customHeight="1" x14ac:dyDescent="0.25">
      <c r="A48" s="69" t="s">
        <v>316</v>
      </c>
      <c r="B48" s="69" t="s">
        <v>16</v>
      </c>
      <c r="C48" s="69" t="s">
        <v>754</v>
      </c>
      <c r="D48" s="69" t="s">
        <v>5</v>
      </c>
      <c r="E48" s="69" t="s">
        <v>6</v>
      </c>
      <c r="F48" s="69" t="s">
        <v>3</v>
      </c>
      <c r="G48" s="69">
        <v>60</v>
      </c>
      <c r="H48" s="70">
        <v>27.97</v>
      </c>
      <c r="I48" s="70">
        <f t="shared" si="2"/>
        <v>0.46616666666666667</v>
      </c>
      <c r="J48" s="69" t="s">
        <v>498</v>
      </c>
      <c r="K48" s="69" t="s">
        <v>498</v>
      </c>
      <c r="L48" s="69" t="s">
        <v>8</v>
      </c>
      <c r="M48" s="69" t="s">
        <v>8</v>
      </c>
      <c r="N48" s="69" t="s">
        <v>2</v>
      </c>
      <c r="O48" s="69" t="s">
        <v>2</v>
      </c>
      <c r="P48" s="69" t="s">
        <v>2</v>
      </c>
      <c r="Q48" s="75" t="s">
        <v>2</v>
      </c>
      <c r="R48" s="69" t="s">
        <v>2</v>
      </c>
      <c r="S48" s="69" t="s">
        <v>700</v>
      </c>
      <c r="T48" s="69" t="s">
        <v>699</v>
      </c>
      <c r="U48" s="75" t="s">
        <v>2</v>
      </c>
      <c r="V48" s="75" t="s">
        <v>2</v>
      </c>
      <c r="W48" s="75" t="s">
        <v>2</v>
      </c>
      <c r="X48" s="75" t="s">
        <v>2</v>
      </c>
      <c r="Y48" s="75" t="s">
        <v>718</v>
      </c>
      <c r="Z48" s="69" t="s">
        <v>79</v>
      </c>
      <c r="AA48" s="69" t="s">
        <v>715</v>
      </c>
      <c r="AB48" s="69" t="s">
        <v>869</v>
      </c>
      <c r="AC48" s="81" t="s">
        <v>874</v>
      </c>
      <c r="AD48" s="72">
        <v>630</v>
      </c>
      <c r="AE48" s="75" t="s">
        <v>9</v>
      </c>
      <c r="AF48" s="75" t="s">
        <v>2</v>
      </c>
      <c r="AG48" s="75" t="s">
        <v>809</v>
      </c>
      <c r="AH48" s="75" t="s">
        <v>34</v>
      </c>
      <c r="AI48" s="75" t="s">
        <v>809</v>
      </c>
      <c r="AJ48" s="72" t="str">
        <f>IF(Table13[[#This Row],[Indicative carbon footprint /inhaler (gCO2e) 7,8]]&gt;1796,"High","Low")</f>
        <v>Low</v>
      </c>
      <c r="AK48" s="75" t="s">
        <v>46</v>
      </c>
      <c r="AL48" s="72" t="s">
        <v>46</v>
      </c>
      <c r="AM48" s="69" t="s">
        <v>459</v>
      </c>
      <c r="AN48" s="69" t="s">
        <v>2</v>
      </c>
      <c r="AO48" s="69" t="s">
        <v>2</v>
      </c>
      <c r="AP48" s="69" t="s">
        <v>2</v>
      </c>
      <c r="AQ48" s="69" t="s">
        <v>2</v>
      </c>
      <c r="AR48" s="74" t="s">
        <v>81</v>
      </c>
      <c r="AS48" s="69" t="s">
        <v>34</v>
      </c>
      <c r="AT48" s="69" t="s">
        <v>46</v>
      </c>
      <c r="AU48" s="69" t="s">
        <v>46</v>
      </c>
      <c r="AV48" s="69" t="s">
        <v>46</v>
      </c>
      <c r="AW48" s="69" t="s">
        <v>46</v>
      </c>
      <c r="AX48" s="69" t="s">
        <v>46</v>
      </c>
      <c r="AY48" s="69" t="s">
        <v>46</v>
      </c>
      <c r="AZ48" s="69" t="s">
        <v>46</v>
      </c>
      <c r="BA48" s="69" t="s">
        <v>46</v>
      </c>
      <c r="BB48" s="69" t="s">
        <v>46</v>
      </c>
      <c r="BC48" s="69" t="s">
        <v>46</v>
      </c>
      <c r="BD48" s="69" t="s">
        <v>46</v>
      </c>
      <c r="BE48" s="69" t="s">
        <v>46</v>
      </c>
      <c r="BF48" s="69" t="s">
        <v>2</v>
      </c>
      <c r="BG48" s="69" t="s">
        <v>2</v>
      </c>
      <c r="BH48" s="69" t="s">
        <v>2</v>
      </c>
      <c r="BI48" s="69" t="s">
        <v>2</v>
      </c>
      <c r="BJ48" s="69" t="s">
        <v>2</v>
      </c>
      <c r="BK48" s="69" t="s">
        <v>2</v>
      </c>
      <c r="BL48" s="69" t="s">
        <v>46</v>
      </c>
      <c r="BM48" s="75" t="s">
        <v>11</v>
      </c>
      <c r="BN48" s="75" t="s">
        <v>2</v>
      </c>
      <c r="BO48" s="72">
        <v>630</v>
      </c>
      <c r="BP48" s="72">
        <v>630</v>
      </c>
      <c r="BQ48" s="75" t="s">
        <v>34</v>
      </c>
      <c r="BR48" s="72">
        <f>Table13[[#This Row],[Inhaler carbon footprint per inhaler in v2.37 (gCO2e) ]]-Table13[[#This Row],[Inhaler carbon footprint per inhaler in v2.36 (gCO2e) ]]</f>
        <v>0</v>
      </c>
      <c r="BS48" s="72" t="s">
        <v>809</v>
      </c>
    </row>
    <row r="49" spans="1:71" ht="101.45" customHeight="1" x14ac:dyDescent="0.25">
      <c r="A49" s="69" t="s">
        <v>317</v>
      </c>
      <c r="B49" s="69" t="s">
        <v>82</v>
      </c>
      <c r="C49" s="69" t="s">
        <v>318</v>
      </c>
      <c r="D49" s="69" t="s">
        <v>12</v>
      </c>
      <c r="E49" s="69" t="s">
        <v>25</v>
      </c>
      <c r="F49" s="69" t="s">
        <v>3</v>
      </c>
      <c r="G49" s="69">
        <v>200</v>
      </c>
      <c r="H49" s="70">
        <v>14.93</v>
      </c>
      <c r="I49" s="70">
        <f t="shared" si="2"/>
        <v>7.4649999999999994E-2</v>
      </c>
      <c r="J49" s="69" t="s">
        <v>7</v>
      </c>
      <c r="K49" s="69" t="s">
        <v>83</v>
      </c>
      <c r="L49" s="69" t="s">
        <v>2</v>
      </c>
      <c r="M49" s="75" t="s">
        <v>8</v>
      </c>
      <c r="N49" s="75" t="s">
        <v>2</v>
      </c>
      <c r="O49" s="75" t="s">
        <v>700</v>
      </c>
      <c r="P49" s="75" t="s">
        <v>699</v>
      </c>
      <c r="Q49" s="75" t="s">
        <v>2</v>
      </c>
      <c r="R49" s="75" t="s">
        <v>2</v>
      </c>
      <c r="S49" s="75" t="s">
        <v>2</v>
      </c>
      <c r="T49" s="75" t="s">
        <v>2</v>
      </c>
      <c r="U49" s="75" t="s">
        <v>2</v>
      </c>
      <c r="V49" s="75" t="s">
        <v>2</v>
      </c>
      <c r="W49" s="75" t="s">
        <v>2</v>
      </c>
      <c r="X49" s="75" t="s">
        <v>2</v>
      </c>
      <c r="Y49" s="75" t="s">
        <v>716</v>
      </c>
      <c r="Z49" s="69" t="s">
        <v>79</v>
      </c>
      <c r="AA49" s="69" t="s">
        <v>850</v>
      </c>
      <c r="AB49" s="69" t="s">
        <v>849</v>
      </c>
      <c r="AC49" s="69" t="s">
        <v>848</v>
      </c>
      <c r="AD49" s="72">
        <v>524.03</v>
      </c>
      <c r="AE49" s="75" t="s">
        <v>9</v>
      </c>
      <c r="AF49" s="75" t="s">
        <v>34</v>
      </c>
      <c r="AG49" s="75" t="s">
        <v>809</v>
      </c>
      <c r="AH49" s="75" t="s">
        <v>34</v>
      </c>
      <c r="AI49" s="75" t="s">
        <v>809</v>
      </c>
      <c r="AJ49" s="72" t="str">
        <f>IF(Table13[[#This Row],[Indicative carbon footprint /inhaler (gCO2e) 7,8]]&gt;1796,"High","Low")</f>
        <v>Low</v>
      </c>
      <c r="AK49" s="72" t="s">
        <v>587</v>
      </c>
      <c r="AL49" s="100" t="s">
        <v>851</v>
      </c>
      <c r="AM49" s="99" t="s">
        <v>852</v>
      </c>
      <c r="AN49" s="69" t="s">
        <v>2</v>
      </c>
      <c r="AO49" s="69" t="s">
        <v>2</v>
      </c>
      <c r="AP49" s="69" t="s">
        <v>2</v>
      </c>
      <c r="AQ49" s="69" t="s">
        <v>2</v>
      </c>
      <c r="AR49" s="74" t="s">
        <v>84</v>
      </c>
      <c r="AS49" s="101" t="s">
        <v>34</v>
      </c>
      <c r="AT49" s="69" t="s">
        <v>857</v>
      </c>
      <c r="AU49" s="82">
        <v>278.94</v>
      </c>
      <c r="AV49" s="82">
        <v>171.08</v>
      </c>
      <c r="AW49" s="69" t="s">
        <v>46</v>
      </c>
      <c r="AX49" s="82">
        <v>10.74</v>
      </c>
      <c r="AY49" s="69" t="s">
        <v>46</v>
      </c>
      <c r="AZ49" s="69" t="s">
        <v>46</v>
      </c>
      <c r="BA49" s="82" t="s">
        <v>46</v>
      </c>
      <c r="BB49" s="82">
        <v>7.96</v>
      </c>
      <c r="BC49" s="82">
        <v>0</v>
      </c>
      <c r="BD49" s="82">
        <v>55.31</v>
      </c>
      <c r="BE49" s="69" t="s">
        <v>46</v>
      </c>
      <c r="BF49" s="69" t="s">
        <v>2</v>
      </c>
      <c r="BG49" s="69" t="s">
        <v>2</v>
      </c>
      <c r="BH49" s="69" t="s">
        <v>2</v>
      </c>
      <c r="BI49" s="69" t="s">
        <v>2</v>
      </c>
      <c r="BJ49" s="69" t="s">
        <v>2</v>
      </c>
      <c r="BK49" s="69" t="s">
        <v>2</v>
      </c>
      <c r="BL49" s="69" t="s">
        <v>853</v>
      </c>
      <c r="BM49" s="75" t="s">
        <v>11</v>
      </c>
      <c r="BN49" s="75" t="s">
        <v>2</v>
      </c>
      <c r="BO49" s="72">
        <v>610</v>
      </c>
      <c r="BP49" s="72">
        <v>524.03</v>
      </c>
      <c r="BQ49" s="75" t="s">
        <v>11</v>
      </c>
      <c r="BR49" s="72">
        <f>Table13[[#This Row],[Inhaler carbon footprint per inhaler in v2.37 (gCO2e) ]]-Table13[[#This Row],[Inhaler carbon footprint per inhaler in v2.36 (gCO2e) ]]</f>
        <v>-85.970000000000027</v>
      </c>
      <c r="BS49" s="72">
        <f>Table13[[#This Row],[Inhaler carbon footprint per inhaler in v2.37 (gCO2e) ]]-Table13[[#This Row],[Inhaler carbon footprint per inhaler in v2.36 (gCO2e) ]]</f>
        <v>-85.970000000000027</v>
      </c>
    </row>
    <row r="50" spans="1:71" ht="52.5" customHeight="1" x14ac:dyDescent="0.25">
      <c r="A50" s="69" t="s">
        <v>319</v>
      </c>
      <c r="B50" s="69" t="s">
        <v>82</v>
      </c>
      <c r="C50" s="69" t="s">
        <v>320</v>
      </c>
      <c r="D50" s="69" t="s">
        <v>12</v>
      </c>
      <c r="E50" s="69" t="s">
        <v>25</v>
      </c>
      <c r="F50" s="69" t="s">
        <v>3</v>
      </c>
      <c r="G50" s="69">
        <v>200</v>
      </c>
      <c r="H50" s="70">
        <v>8.86</v>
      </c>
      <c r="I50" s="70">
        <f t="shared" si="2"/>
        <v>4.4299999999999999E-2</v>
      </c>
      <c r="J50" s="69" t="s">
        <v>57</v>
      </c>
      <c r="K50" s="69" t="s">
        <v>85</v>
      </c>
      <c r="L50" s="69" t="s">
        <v>2</v>
      </c>
      <c r="M50" s="75" t="s">
        <v>8</v>
      </c>
      <c r="N50" s="75" t="s">
        <v>2</v>
      </c>
      <c r="O50" s="75" t="s">
        <v>701</v>
      </c>
      <c r="P50" s="75" t="s">
        <v>702</v>
      </c>
      <c r="Q50" s="75" t="s">
        <v>704</v>
      </c>
      <c r="R50" s="75" t="s">
        <v>2</v>
      </c>
      <c r="S50" s="75" t="s">
        <v>2</v>
      </c>
      <c r="T50" s="75" t="s">
        <v>2</v>
      </c>
      <c r="U50" s="75" t="s">
        <v>2</v>
      </c>
      <c r="V50" s="75" t="s">
        <v>2</v>
      </c>
      <c r="W50" s="75" t="s">
        <v>2</v>
      </c>
      <c r="X50" s="75" t="s">
        <v>2</v>
      </c>
      <c r="Y50" s="75" t="s">
        <v>718</v>
      </c>
      <c r="Z50" s="69" t="s">
        <v>79</v>
      </c>
      <c r="AA50" s="69" t="s">
        <v>855</v>
      </c>
      <c r="AB50" s="69" t="s">
        <v>856</v>
      </c>
      <c r="AC50" s="99" t="s">
        <v>854</v>
      </c>
      <c r="AD50" s="72">
        <v>404.95</v>
      </c>
      <c r="AE50" s="75" t="s">
        <v>9</v>
      </c>
      <c r="AF50" s="75" t="s">
        <v>34</v>
      </c>
      <c r="AG50" s="75" t="s">
        <v>809</v>
      </c>
      <c r="AH50" s="75" t="s">
        <v>34</v>
      </c>
      <c r="AI50" s="75" t="s">
        <v>809</v>
      </c>
      <c r="AJ50" s="72" t="str">
        <f>IF(Table13[[#This Row],[Indicative carbon footprint /inhaler (gCO2e) 7,8]]&gt;1796,"High","Low")</f>
        <v>Low</v>
      </c>
      <c r="AK50" s="72" t="s">
        <v>587</v>
      </c>
      <c r="AL50" s="100" t="s">
        <v>851</v>
      </c>
      <c r="AM50" s="99" t="s">
        <v>852</v>
      </c>
      <c r="AN50" s="69" t="s">
        <v>2</v>
      </c>
      <c r="AO50" s="69" t="s">
        <v>2</v>
      </c>
      <c r="AP50" s="69" t="s">
        <v>2</v>
      </c>
      <c r="AQ50" s="69" t="s">
        <v>2</v>
      </c>
      <c r="AR50" s="74" t="s">
        <v>86</v>
      </c>
      <c r="AS50" s="101" t="s">
        <v>34</v>
      </c>
      <c r="AT50" s="69" t="s">
        <v>857</v>
      </c>
      <c r="AU50" s="82">
        <v>160.12</v>
      </c>
      <c r="AV50" s="82">
        <v>171.08</v>
      </c>
      <c r="AW50" s="69" t="s">
        <v>46</v>
      </c>
      <c r="AX50" s="82">
        <v>10.63</v>
      </c>
      <c r="AY50" s="69" t="s">
        <v>46</v>
      </c>
      <c r="AZ50" s="69" t="s">
        <v>46</v>
      </c>
      <c r="BA50" s="82" t="s">
        <v>46</v>
      </c>
      <c r="BB50" s="82">
        <v>7.81</v>
      </c>
      <c r="BC50" s="82">
        <v>0</v>
      </c>
      <c r="BD50" s="82">
        <v>55.31</v>
      </c>
      <c r="BE50" s="69" t="s">
        <v>46</v>
      </c>
      <c r="BF50" s="69" t="s">
        <v>2</v>
      </c>
      <c r="BG50" s="69" t="s">
        <v>2</v>
      </c>
      <c r="BH50" s="69" t="s">
        <v>2</v>
      </c>
      <c r="BI50" s="69" t="s">
        <v>2</v>
      </c>
      <c r="BJ50" s="69" t="s">
        <v>2</v>
      </c>
      <c r="BK50" s="69" t="s">
        <v>2</v>
      </c>
      <c r="BL50" s="69" t="s">
        <v>853</v>
      </c>
      <c r="BM50" s="75" t="s">
        <v>11</v>
      </c>
      <c r="BN50" s="75" t="s">
        <v>2</v>
      </c>
      <c r="BO50" s="72">
        <v>650</v>
      </c>
      <c r="BP50" s="72">
        <v>404.95</v>
      </c>
      <c r="BQ50" s="75" t="s">
        <v>11</v>
      </c>
      <c r="BR50" s="72">
        <f>Table13[[#This Row],[Inhaler carbon footprint per inhaler in v2.37 (gCO2e) ]]-Table13[[#This Row],[Inhaler carbon footprint per inhaler in v2.36 (gCO2e) ]]</f>
        <v>-245.05</v>
      </c>
      <c r="BS50" s="72">
        <f>Table13[[#This Row],[Inhaler carbon footprint per inhaler in v2.37 (gCO2e) ]]-Table13[[#This Row],[Inhaler carbon footprint per inhaler in v2.36 (gCO2e) ]]</f>
        <v>-245.05</v>
      </c>
    </row>
    <row r="51" spans="1:71" ht="51.95" customHeight="1" x14ac:dyDescent="0.25">
      <c r="A51" s="69" t="s">
        <v>321</v>
      </c>
      <c r="B51" s="69" t="s">
        <v>82</v>
      </c>
      <c r="C51" s="69" t="s">
        <v>322</v>
      </c>
      <c r="D51" s="69" t="s">
        <v>12</v>
      </c>
      <c r="E51" s="69" t="s">
        <v>25</v>
      </c>
      <c r="F51" s="69" t="s">
        <v>3</v>
      </c>
      <c r="G51" s="69">
        <v>200</v>
      </c>
      <c r="H51" s="70">
        <v>17.71</v>
      </c>
      <c r="I51" s="70">
        <f t="shared" si="2"/>
        <v>8.8550000000000004E-2</v>
      </c>
      <c r="J51" s="69" t="s">
        <v>57</v>
      </c>
      <c r="K51" s="69" t="s">
        <v>85</v>
      </c>
      <c r="L51" s="69" t="s">
        <v>2</v>
      </c>
      <c r="M51" s="75" t="s">
        <v>8</v>
      </c>
      <c r="N51" s="75" t="s">
        <v>2</v>
      </c>
      <c r="O51" s="75" t="s">
        <v>700</v>
      </c>
      <c r="P51" s="75" t="s">
        <v>699</v>
      </c>
      <c r="Q51" s="75" t="s">
        <v>705</v>
      </c>
      <c r="R51" s="75" t="s">
        <v>2</v>
      </c>
      <c r="S51" s="75" t="s">
        <v>2</v>
      </c>
      <c r="T51" s="75" t="s">
        <v>2</v>
      </c>
      <c r="U51" s="75" t="s">
        <v>2</v>
      </c>
      <c r="V51" s="75" t="s">
        <v>2</v>
      </c>
      <c r="W51" s="75" t="s">
        <v>2</v>
      </c>
      <c r="X51" s="75" t="s">
        <v>2</v>
      </c>
      <c r="Y51" s="75" t="s">
        <v>718</v>
      </c>
      <c r="Z51" s="69" t="s">
        <v>79</v>
      </c>
      <c r="AA51" s="69" t="s">
        <v>855</v>
      </c>
      <c r="AB51" s="69" t="s">
        <v>856</v>
      </c>
      <c r="AC51" s="99" t="s">
        <v>854</v>
      </c>
      <c r="AD51" s="72">
        <v>404.95</v>
      </c>
      <c r="AE51" s="75" t="s">
        <v>9</v>
      </c>
      <c r="AF51" s="75" t="s">
        <v>34</v>
      </c>
      <c r="AG51" s="75" t="s">
        <v>809</v>
      </c>
      <c r="AH51" s="75" t="s">
        <v>34</v>
      </c>
      <c r="AI51" s="75" t="s">
        <v>809</v>
      </c>
      <c r="AJ51" s="72" t="str">
        <f>IF(Table13[[#This Row],[Indicative carbon footprint /inhaler (gCO2e) 7,8]]&gt;1796,"High","Low")</f>
        <v>Low</v>
      </c>
      <c r="AK51" s="72" t="s">
        <v>587</v>
      </c>
      <c r="AL51" s="100" t="s">
        <v>851</v>
      </c>
      <c r="AM51" s="99" t="s">
        <v>852</v>
      </c>
      <c r="AN51" s="69" t="s">
        <v>2</v>
      </c>
      <c r="AO51" s="69" t="s">
        <v>2</v>
      </c>
      <c r="AP51" s="69" t="s">
        <v>2</v>
      </c>
      <c r="AQ51" s="69" t="s">
        <v>2</v>
      </c>
      <c r="AR51" s="74" t="s">
        <v>87</v>
      </c>
      <c r="AS51" s="101" t="s">
        <v>34</v>
      </c>
      <c r="AT51" s="69" t="s">
        <v>857</v>
      </c>
      <c r="AU51" s="82">
        <v>160.12</v>
      </c>
      <c r="AV51" s="82">
        <v>171.08</v>
      </c>
      <c r="AW51" s="69" t="s">
        <v>46</v>
      </c>
      <c r="AX51" s="82">
        <v>10.63</v>
      </c>
      <c r="AY51" s="69" t="s">
        <v>46</v>
      </c>
      <c r="AZ51" s="69" t="s">
        <v>46</v>
      </c>
      <c r="BA51" s="82" t="s">
        <v>46</v>
      </c>
      <c r="BB51" s="82">
        <v>7.81</v>
      </c>
      <c r="BC51" s="82">
        <v>0</v>
      </c>
      <c r="BD51" s="82">
        <v>55.31</v>
      </c>
      <c r="BE51" s="69" t="s">
        <v>46</v>
      </c>
      <c r="BF51" s="69" t="s">
        <v>2</v>
      </c>
      <c r="BG51" s="69" t="s">
        <v>2</v>
      </c>
      <c r="BH51" s="69" t="s">
        <v>2</v>
      </c>
      <c r="BI51" s="69" t="s">
        <v>2</v>
      </c>
      <c r="BJ51" s="69" t="s">
        <v>2</v>
      </c>
      <c r="BK51" s="69" t="s">
        <v>2</v>
      </c>
      <c r="BL51" s="69" t="s">
        <v>853</v>
      </c>
      <c r="BM51" s="75" t="s">
        <v>11</v>
      </c>
      <c r="BN51" s="75" t="s">
        <v>2</v>
      </c>
      <c r="BO51" s="72">
        <v>650</v>
      </c>
      <c r="BP51" s="72">
        <v>404.95</v>
      </c>
      <c r="BQ51" s="75" t="s">
        <v>11</v>
      </c>
      <c r="BR51" s="72">
        <f>Table13[[#This Row],[Inhaler carbon footprint per inhaler in v2.37 (gCO2e) ]]-Table13[[#This Row],[Inhaler carbon footprint per inhaler in v2.36 (gCO2e) ]]</f>
        <v>-245.05</v>
      </c>
      <c r="BS51" s="72">
        <f>Table13[[#This Row],[Inhaler carbon footprint per inhaler in v2.37 (gCO2e) ]]-Table13[[#This Row],[Inhaler carbon footprint per inhaler in v2.36 (gCO2e) ]]</f>
        <v>-245.05</v>
      </c>
    </row>
    <row r="52" spans="1:71" ht="64.5" customHeight="1" x14ac:dyDescent="0.25">
      <c r="A52" s="69" t="s">
        <v>323</v>
      </c>
      <c r="B52" s="69" t="s">
        <v>82</v>
      </c>
      <c r="C52" s="69" t="s">
        <v>324</v>
      </c>
      <c r="D52" s="69" t="s">
        <v>12</v>
      </c>
      <c r="E52" s="69" t="s">
        <v>25</v>
      </c>
      <c r="F52" s="69" t="s">
        <v>3</v>
      </c>
      <c r="G52" s="69">
        <v>100</v>
      </c>
      <c r="H52" s="70">
        <v>17.71</v>
      </c>
      <c r="I52" s="70">
        <f t="shared" si="2"/>
        <v>0.17710000000000001</v>
      </c>
      <c r="J52" s="69" t="s">
        <v>57</v>
      </c>
      <c r="K52" s="69" t="s">
        <v>85</v>
      </c>
      <c r="L52" s="69" t="s">
        <v>2</v>
      </c>
      <c r="M52" s="75" t="s">
        <v>8</v>
      </c>
      <c r="N52" s="75" t="s">
        <v>2</v>
      </c>
      <c r="O52" s="75" t="s">
        <v>2</v>
      </c>
      <c r="P52" s="75" t="s">
        <v>700</v>
      </c>
      <c r="Q52" s="75" t="s">
        <v>699</v>
      </c>
      <c r="R52" s="75" t="s">
        <v>2</v>
      </c>
      <c r="S52" s="75" t="s">
        <v>2</v>
      </c>
      <c r="T52" s="75" t="s">
        <v>2</v>
      </c>
      <c r="U52" s="75" t="s">
        <v>2</v>
      </c>
      <c r="V52" s="75" t="s">
        <v>2</v>
      </c>
      <c r="W52" s="75" t="s">
        <v>2</v>
      </c>
      <c r="X52" s="75" t="s">
        <v>2</v>
      </c>
      <c r="Y52" s="75" t="s">
        <v>718</v>
      </c>
      <c r="Z52" s="69" t="s">
        <v>79</v>
      </c>
      <c r="AA52" s="69" t="s">
        <v>855</v>
      </c>
      <c r="AB52" s="69" t="s">
        <v>856</v>
      </c>
      <c r="AC52" s="99" t="s">
        <v>854</v>
      </c>
      <c r="AD52" s="72">
        <v>404.95</v>
      </c>
      <c r="AE52" s="75" t="s">
        <v>9</v>
      </c>
      <c r="AF52" s="75" t="s">
        <v>34</v>
      </c>
      <c r="AG52" s="75" t="s">
        <v>809</v>
      </c>
      <c r="AH52" s="75" t="s">
        <v>34</v>
      </c>
      <c r="AI52" s="75" t="s">
        <v>809</v>
      </c>
      <c r="AJ52" s="72" t="str">
        <f>IF(Table13[[#This Row],[Indicative carbon footprint /inhaler (gCO2e) 7,8]]&gt;1796,"High","Low")</f>
        <v>Low</v>
      </c>
      <c r="AK52" s="72" t="s">
        <v>587</v>
      </c>
      <c r="AL52" s="100" t="s">
        <v>851</v>
      </c>
      <c r="AM52" s="99" t="s">
        <v>852</v>
      </c>
      <c r="AN52" s="69" t="s">
        <v>2</v>
      </c>
      <c r="AO52" s="69" t="s">
        <v>2</v>
      </c>
      <c r="AP52" s="69" t="s">
        <v>2</v>
      </c>
      <c r="AQ52" s="69" t="s">
        <v>2</v>
      </c>
      <c r="AR52" s="74" t="s">
        <v>88</v>
      </c>
      <c r="AS52" s="101" t="s">
        <v>34</v>
      </c>
      <c r="AT52" s="69" t="s">
        <v>857</v>
      </c>
      <c r="AU52" s="82">
        <v>160.12</v>
      </c>
      <c r="AV52" s="82">
        <v>171.08</v>
      </c>
      <c r="AW52" s="69" t="s">
        <v>46</v>
      </c>
      <c r="AX52" s="82">
        <v>10.63</v>
      </c>
      <c r="AY52" s="69" t="s">
        <v>46</v>
      </c>
      <c r="AZ52" s="69" t="s">
        <v>46</v>
      </c>
      <c r="BA52" s="82" t="s">
        <v>46</v>
      </c>
      <c r="BB52" s="82">
        <v>7.81</v>
      </c>
      <c r="BC52" s="82">
        <v>0</v>
      </c>
      <c r="BD52" s="82">
        <v>55.31</v>
      </c>
      <c r="BE52" s="69" t="s">
        <v>46</v>
      </c>
      <c r="BF52" s="69" t="s">
        <v>2</v>
      </c>
      <c r="BG52" s="69" t="s">
        <v>2</v>
      </c>
      <c r="BH52" s="69" t="s">
        <v>2</v>
      </c>
      <c r="BI52" s="69" t="s">
        <v>2</v>
      </c>
      <c r="BJ52" s="69" t="s">
        <v>2</v>
      </c>
      <c r="BK52" s="69" t="s">
        <v>2</v>
      </c>
      <c r="BL52" s="69" t="s">
        <v>853</v>
      </c>
      <c r="BM52" s="75" t="s">
        <v>11</v>
      </c>
      <c r="BN52" s="75" t="s">
        <v>2</v>
      </c>
      <c r="BO52" s="72">
        <v>650</v>
      </c>
      <c r="BP52" s="72">
        <v>404.95</v>
      </c>
      <c r="BQ52" s="75" t="s">
        <v>11</v>
      </c>
      <c r="BR52" s="72">
        <f>Table13[[#This Row],[Inhaler carbon footprint per inhaler in v2.37 (gCO2e) ]]-Table13[[#This Row],[Inhaler carbon footprint per inhaler in v2.36 (gCO2e) ]]</f>
        <v>-245.05</v>
      </c>
      <c r="BS52" s="72">
        <f>325-405</f>
        <v>-80</v>
      </c>
    </row>
    <row r="53" spans="1:71" ht="66" customHeight="1" x14ac:dyDescent="0.25">
      <c r="A53" s="69" t="s">
        <v>325</v>
      </c>
      <c r="B53" s="69" t="s">
        <v>82</v>
      </c>
      <c r="C53" s="69" t="s">
        <v>326</v>
      </c>
      <c r="D53" s="69" t="s">
        <v>5</v>
      </c>
      <c r="E53" s="69" t="s">
        <v>44</v>
      </c>
      <c r="F53" s="69" t="s">
        <v>3</v>
      </c>
      <c r="G53" s="69">
        <v>120</v>
      </c>
      <c r="H53" s="70">
        <v>23.75</v>
      </c>
      <c r="I53" s="70">
        <f t="shared" si="2"/>
        <v>0.19791666666666666</v>
      </c>
      <c r="J53" s="69" t="s">
        <v>57</v>
      </c>
      <c r="K53" s="69" t="s">
        <v>58</v>
      </c>
      <c r="L53" s="69" t="s">
        <v>2</v>
      </c>
      <c r="M53" s="75" t="s">
        <v>8</v>
      </c>
      <c r="N53" s="75" t="s">
        <v>2</v>
      </c>
      <c r="O53" s="75" t="s">
        <v>2</v>
      </c>
      <c r="P53" s="75" t="s">
        <v>2</v>
      </c>
      <c r="Q53" s="75" t="s">
        <v>2</v>
      </c>
      <c r="R53" s="75" t="s">
        <v>2</v>
      </c>
      <c r="S53" s="75" t="s">
        <v>2</v>
      </c>
      <c r="T53" s="75" t="s">
        <v>2</v>
      </c>
      <c r="U53" s="75" t="s">
        <v>2</v>
      </c>
      <c r="V53" s="75" t="s">
        <v>2</v>
      </c>
      <c r="W53" s="75" t="s">
        <v>2</v>
      </c>
      <c r="X53" s="75" t="s">
        <v>2</v>
      </c>
      <c r="Y53" s="75" t="s">
        <v>2</v>
      </c>
      <c r="Z53" s="69" t="s">
        <v>79</v>
      </c>
      <c r="AA53" s="69" t="s">
        <v>846</v>
      </c>
      <c r="AB53" s="69" t="s">
        <v>858</v>
      </c>
      <c r="AC53" s="99" t="s">
        <v>854</v>
      </c>
      <c r="AD53" s="72">
        <v>460.16</v>
      </c>
      <c r="AE53" s="75" t="s">
        <v>9</v>
      </c>
      <c r="AF53" s="75" t="s">
        <v>34</v>
      </c>
      <c r="AG53" s="75" t="s">
        <v>809</v>
      </c>
      <c r="AH53" s="75" t="s">
        <v>34</v>
      </c>
      <c r="AI53" s="75" t="s">
        <v>809</v>
      </c>
      <c r="AJ53" s="72" t="str">
        <f>IF(Table13[[#This Row],[Indicative carbon footprint /inhaler (gCO2e) 7,8]]&gt;1796,"High","Low")</f>
        <v>Low</v>
      </c>
      <c r="AK53" s="72" t="s">
        <v>587</v>
      </c>
      <c r="AL53" s="100" t="s">
        <v>851</v>
      </c>
      <c r="AM53" s="99" t="s">
        <v>852</v>
      </c>
      <c r="AN53" s="69" t="s">
        <v>2</v>
      </c>
      <c r="AO53" s="69" t="s">
        <v>2</v>
      </c>
      <c r="AP53" s="69" t="s">
        <v>2</v>
      </c>
      <c r="AQ53" s="69" t="s">
        <v>2</v>
      </c>
      <c r="AR53" s="74" t="s">
        <v>89</v>
      </c>
      <c r="AS53" s="101" t="s">
        <v>34</v>
      </c>
      <c r="AT53" s="69" t="s">
        <v>857</v>
      </c>
      <c r="AU53" s="82">
        <v>214.21</v>
      </c>
      <c r="AV53" s="82">
        <v>171.08</v>
      </c>
      <c r="AW53" s="69" t="s">
        <v>46</v>
      </c>
      <c r="AX53" s="82">
        <v>10.68</v>
      </c>
      <c r="AY53" s="69" t="s">
        <v>46</v>
      </c>
      <c r="AZ53" s="69" t="s">
        <v>46</v>
      </c>
      <c r="BA53" s="82" t="s">
        <v>46</v>
      </c>
      <c r="BB53" s="82">
        <v>7.88</v>
      </c>
      <c r="BC53" s="82">
        <v>0</v>
      </c>
      <c r="BD53" s="82">
        <v>55.31</v>
      </c>
      <c r="BE53" s="69" t="s">
        <v>46</v>
      </c>
      <c r="BF53" s="69" t="s">
        <v>2</v>
      </c>
      <c r="BG53" s="69" t="s">
        <v>2</v>
      </c>
      <c r="BH53" s="69" t="s">
        <v>2</v>
      </c>
      <c r="BI53" s="69" t="s">
        <v>2</v>
      </c>
      <c r="BJ53" s="69" t="s">
        <v>2</v>
      </c>
      <c r="BK53" s="69" t="s">
        <v>2</v>
      </c>
      <c r="BL53" s="69" t="s">
        <v>853</v>
      </c>
      <c r="BM53" s="75" t="s">
        <v>11</v>
      </c>
      <c r="BN53" s="75" t="s">
        <v>2</v>
      </c>
      <c r="BO53" s="72">
        <v>543.6</v>
      </c>
      <c r="BP53" s="72">
        <v>460.16</v>
      </c>
      <c r="BQ53" s="75" t="s">
        <v>11</v>
      </c>
      <c r="BR53" s="72">
        <f>Table13[[#This Row],[Inhaler carbon footprint per inhaler in v2.37 (gCO2e) ]]-Table13[[#This Row],[Inhaler carbon footprint per inhaler in v2.36 (gCO2e) ]]</f>
        <v>-83.44</v>
      </c>
      <c r="BS53" s="72">
        <f>Table13[[#This Row],[Inhaler carbon footprint per inhaler in v2.37 (gCO2e) ]]-Table13[[#This Row],[Inhaler carbon footprint per inhaler in v2.36 (gCO2e) ]]</f>
        <v>-83.44</v>
      </c>
    </row>
    <row r="54" spans="1:71" ht="33" customHeight="1" x14ac:dyDescent="0.25">
      <c r="A54" s="69" t="s">
        <v>327</v>
      </c>
      <c r="B54" s="69" t="s">
        <v>82</v>
      </c>
      <c r="C54" s="69" t="s">
        <v>286</v>
      </c>
      <c r="D54" s="69" t="s">
        <v>17</v>
      </c>
      <c r="E54" s="69" t="s">
        <v>18</v>
      </c>
      <c r="F54" s="69" t="s">
        <v>3</v>
      </c>
      <c r="G54" s="69">
        <v>200</v>
      </c>
      <c r="H54" s="70">
        <v>3.31</v>
      </c>
      <c r="I54" s="70">
        <f t="shared" si="2"/>
        <v>1.6549999999999999E-2</v>
      </c>
      <c r="J54" s="69" t="s">
        <v>19</v>
      </c>
      <c r="K54" s="69" t="s">
        <v>76</v>
      </c>
      <c r="L54" s="69" t="s">
        <v>2</v>
      </c>
      <c r="M54" s="75" t="s">
        <v>8</v>
      </c>
      <c r="N54" s="75" t="s">
        <v>2</v>
      </c>
      <c r="O54" s="75" t="s">
        <v>2</v>
      </c>
      <c r="P54" s="75" t="s">
        <v>2</v>
      </c>
      <c r="Q54" s="75" t="s">
        <v>2</v>
      </c>
      <c r="R54" s="75" t="s">
        <v>2</v>
      </c>
      <c r="S54" s="75" t="s">
        <v>2</v>
      </c>
      <c r="T54" s="75" t="s">
        <v>2</v>
      </c>
      <c r="U54" s="75" t="s">
        <v>2</v>
      </c>
      <c r="V54" s="75" t="s">
        <v>2</v>
      </c>
      <c r="W54" s="75" t="s">
        <v>2</v>
      </c>
      <c r="X54" s="75" t="s">
        <v>2</v>
      </c>
      <c r="Y54" s="75" t="s">
        <v>2</v>
      </c>
      <c r="Z54" s="69" t="s">
        <v>79</v>
      </c>
      <c r="AA54" s="69" t="s">
        <v>861</v>
      </c>
      <c r="AB54" s="69" t="s">
        <v>859</v>
      </c>
      <c r="AC54" s="99" t="s">
        <v>860</v>
      </c>
      <c r="AD54" s="72">
        <v>532.88</v>
      </c>
      <c r="AE54" s="75" t="s">
        <v>9</v>
      </c>
      <c r="AF54" s="75" t="s">
        <v>34</v>
      </c>
      <c r="AG54" s="75" t="s">
        <v>809</v>
      </c>
      <c r="AH54" s="75" t="s">
        <v>34</v>
      </c>
      <c r="AI54" s="75" t="s">
        <v>809</v>
      </c>
      <c r="AJ54" s="72" t="str">
        <f>IF(Table13[[#This Row],[Indicative carbon footprint /inhaler (gCO2e) 7,8]]&gt;1796,"High","Low")</f>
        <v>Low</v>
      </c>
      <c r="AK54" s="72" t="s">
        <v>587</v>
      </c>
      <c r="AL54" s="100" t="s">
        <v>851</v>
      </c>
      <c r="AM54" s="99" t="s">
        <v>852</v>
      </c>
      <c r="AN54" s="69" t="s">
        <v>2</v>
      </c>
      <c r="AO54" s="69" t="s">
        <v>2</v>
      </c>
      <c r="AP54" s="69" t="s">
        <v>2</v>
      </c>
      <c r="AQ54" s="69" t="s">
        <v>2</v>
      </c>
      <c r="AR54" s="74" t="s">
        <v>90</v>
      </c>
      <c r="AS54" s="101" t="s">
        <v>34</v>
      </c>
      <c r="AT54" s="69" t="s">
        <v>857</v>
      </c>
      <c r="AU54" s="82">
        <v>287.62</v>
      </c>
      <c r="AV54" s="82">
        <v>171.08</v>
      </c>
      <c r="AW54" s="69" t="s">
        <v>46</v>
      </c>
      <c r="AX54" s="82">
        <v>10.9</v>
      </c>
      <c r="AY54" s="69" t="s">
        <v>46</v>
      </c>
      <c r="AZ54" s="69" t="s">
        <v>46</v>
      </c>
      <c r="BA54" s="82" t="s">
        <v>46</v>
      </c>
      <c r="BB54" s="82">
        <v>7.97</v>
      </c>
      <c r="BC54" s="82">
        <v>0</v>
      </c>
      <c r="BD54" s="82">
        <v>55.31</v>
      </c>
      <c r="BE54" s="69" t="s">
        <v>46</v>
      </c>
      <c r="BF54" s="69" t="s">
        <v>2</v>
      </c>
      <c r="BG54" s="69" t="s">
        <v>2</v>
      </c>
      <c r="BH54" s="69" t="s">
        <v>2</v>
      </c>
      <c r="BI54" s="69" t="s">
        <v>2</v>
      </c>
      <c r="BJ54" s="69" t="s">
        <v>2</v>
      </c>
      <c r="BK54" s="69" t="s">
        <v>2</v>
      </c>
      <c r="BL54" s="69" t="s">
        <v>853</v>
      </c>
      <c r="BM54" s="75" t="s">
        <v>11</v>
      </c>
      <c r="BN54" s="75" t="s">
        <v>2</v>
      </c>
      <c r="BO54" s="72">
        <v>620</v>
      </c>
      <c r="BP54" s="72">
        <v>532.88</v>
      </c>
      <c r="BQ54" s="75" t="s">
        <v>11</v>
      </c>
      <c r="BR54" s="72">
        <f>Table13[[#This Row],[Inhaler carbon footprint per inhaler in v2.37 (gCO2e) ]]-Table13[[#This Row],[Inhaler carbon footprint per inhaler in v2.36 (gCO2e) ]]</f>
        <v>-87.12</v>
      </c>
      <c r="BS54" s="72">
        <f>Table13[[#This Row],[Inhaler carbon footprint per inhaler in v2.37 (gCO2e) ]]-Table13[[#This Row],[Inhaler carbon footprint per inhaler in v2.36 (gCO2e) ]]</f>
        <v>-87.12</v>
      </c>
    </row>
    <row r="55" spans="1:71" ht="33" customHeight="1" x14ac:dyDescent="0.25">
      <c r="A55" s="69" t="s">
        <v>328</v>
      </c>
      <c r="B55" s="69" t="s">
        <v>82</v>
      </c>
      <c r="C55" s="69" t="s">
        <v>393</v>
      </c>
      <c r="D55" s="69" t="s">
        <v>17</v>
      </c>
      <c r="E55" s="69" t="s">
        <v>18</v>
      </c>
      <c r="F55" s="69" t="s">
        <v>3</v>
      </c>
      <c r="G55" s="69">
        <v>200</v>
      </c>
      <c r="H55" s="70">
        <v>6.63</v>
      </c>
      <c r="I55" s="70">
        <f t="shared" si="2"/>
        <v>3.3149999999999999E-2</v>
      </c>
      <c r="J55" s="69" t="s">
        <v>19</v>
      </c>
      <c r="K55" s="69" t="s">
        <v>76</v>
      </c>
      <c r="L55" s="69" t="s">
        <v>2</v>
      </c>
      <c r="M55" s="75" t="s">
        <v>8</v>
      </c>
      <c r="N55" s="75" t="s">
        <v>2</v>
      </c>
      <c r="O55" s="75" t="s">
        <v>2</v>
      </c>
      <c r="P55" s="75" t="s">
        <v>2</v>
      </c>
      <c r="Q55" s="75" t="s">
        <v>2</v>
      </c>
      <c r="R55" s="75" t="s">
        <v>2</v>
      </c>
      <c r="S55" s="75" t="s">
        <v>2</v>
      </c>
      <c r="T55" s="75" t="s">
        <v>2</v>
      </c>
      <c r="U55" s="75" t="s">
        <v>2</v>
      </c>
      <c r="V55" s="75" t="s">
        <v>2</v>
      </c>
      <c r="W55" s="75" t="s">
        <v>2</v>
      </c>
      <c r="X55" s="75" t="s">
        <v>2</v>
      </c>
      <c r="Y55" s="75" t="s">
        <v>2</v>
      </c>
      <c r="Z55" s="69" t="s">
        <v>79</v>
      </c>
      <c r="AA55" s="69" t="s">
        <v>861</v>
      </c>
      <c r="AB55" s="69" t="s">
        <v>862</v>
      </c>
      <c r="AC55" s="99" t="s">
        <v>860</v>
      </c>
      <c r="AD55" s="72">
        <v>532.88</v>
      </c>
      <c r="AE55" s="75" t="s">
        <v>9</v>
      </c>
      <c r="AF55" s="75" t="s">
        <v>34</v>
      </c>
      <c r="AG55" s="75" t="s">
        <v>809</v>
      </c>
      <c r="AH55" s="75" t="s">
        <v>34</v>
      </c>
      <c r="AI55" s="75" t="s">
        <v>809</v>
      </c>
      <c r="AJ55" s="72" t="str">
        <f>IF(Table13[[#This Row],[Indicative carbon footprint /inhaler (gCO2e) 7,8]]&gt;1796,"High","Low")</f>
        <v>Low</v>
      </c>
      <c r="AK55" s="72" t="s">
        <v>587</v>
      </c>
      <c r="AL55" s="100" t="s">
        <v>851</v>
      </c>
      <c r="AM55" s="99" t="s">
        <v>852</v>
      </c>
      <c r="AN55" s="69" t="s">
        <v>2</v>
      </c>
      <c r="AO55" s="69" t="s">
        <v>2</v>
      </c>
      <c r="AP55" s="69" t="s">
        <v>2</v>
      </c>
      <c r="AQ55" s="69" t="s">
        <v>2</v>
      </c>
      <c r="AR55" s="74" t="s">
        <v>91</v>
      </c>
      <c r="AS55" s="101" t="s">
        <v>34</v>
      </c>
      <c r="AT55" s="69" t="s">
        <v>857</v>
      </c>
      <c r="AU55" s="82">
        <v>287.62</v>
      </c>
      <c r="AV55" s="82">
        <v>171.08</v>
      </c>
      <c r="AW55" s="69" t="s">
        <v>46</v>
      </c>
      <c r="AX55" s="82">
        <v>10.9</v>
      </c>
      <c r="AY55" s="69" t="s">
        <v>46</v>
      </c>
      <c r="AZ55" s="69" t="s">
        <v>46</v>
      </c>
      <c r="BA55" s="82" t="s">
        <v>46</v>
      </c>
      <c r="BB55" s="82">
        <v>7.97</v>
      </c>
      <c r="BC55" s="82">
        <v>0</v>
      </c>
      <c r="BD55" s="82">
        <v>55.31</v>
      </c>
      <c r="BE55" s="69" t="s">
        <v>46</v>
      </c>
      <c r="BF55" s="69" t="s">
        <v>2</v>
      </c>
      <c r="BG55" s="69" t="s">
        <v>2</v>
      </c>
      <c r="BH55" s="69" t="s">
        <v>2</v>
      </c>
      <c r="BI55" s="69" t="s">
        <v>2</v>
      </c>
      <c r="BJ55" s="69" t="s">
        <v>2</v>
      </c>
      <c r="BK55" s="69" t="s">
        <v>2</v>
      </c>
      <c r="BL55" s="69" t="s">
        <v>853</v>
      </c>
      <c r="BM55" s="75" t="s">
        <v>11</v>
      </c>
      <c r="BN55" s="75" t="s">
        <v>2</v>
      </c>
      <c r="BO55" s="72">
        <v>620</v>
      </c>
      <c r="BP55" s="72">
        <v>532.88</v>
      </c>
      <c r="BQ55" s="75" t="s">
        <v>11</v>
      </c>
      <c r="BR55" s="72">
        <f>Table13[[#This Row],[Inhaler carbon footprint per inhaler in v2.37 (gCO2e) ]]-Table13[[#This Row],[Inhaler carbon footprint per inhaler in v2.36 (gCO2e) ]]</f>
        <v>-87.12</v>
      </c>
      <c r="BS55" s="72">
        <f>Table13[[#This Row],[Inhaler carbon footprint per inhaler in v2.37 (gCO2e) ]]-Table13[[#This Row],[Inhaler carbon footprint per inhaler in v2.36 (gCO2e) ]]</f>
        <v>-87.12</v>
      </c>
    </row>
    <row r="56" spans="1:71" ht="63" customHeight="1" x14ac:dyDescent="0.25">
      <c r="A56" s="69" t="s">
        <v>329</v>
      </c>
      <c r="B56" s="69" t="s">
        <v>24</v>
      </c>
      <c r="C56" s="69" t="s">
        <v>404</v>
      </c>
      <c r="D56" s="69" t="s">
        <v>32</v>
      </c>
      <c r="E56" s="69" t="s">
        <v>92</v>
      </c>
      <c r="F56" s="69" t="s">
        <v>3</v>
      </c>
      <c r="G56" s="69">
        <v>60</v>
      </c>
      <c r="H56" s="70">
        <v>32.5</v>
      </c>
      <c r="I56" s="70">
        <f t="shared" si="2"/>
        <v>0.54166666666666663</v>
      </c>
      <c r="J56" s="69" t="s">
        <v>7</v>
      </c>
      <c r="K56" s="69" t="s">
        <v>7</v>
      </c>
      <c r="L56" s="69" t="s">
        <v>2</v>
      </c>
      <c r="M56" s="75" t="s">
        <v>8</v>
      </c>
      <c r="N56" s="75" t="s">
        <v>2</v>
      </c>
      <c r="O56" s="75" t="s">
        <v>2</v>
      </c>
      <c r="P56" s="75" t="s">
        <v>2</v>
      </c>
      <c r="Q56" s="75" t="s">
        <v>2</v>
      </c>
      <c r="R56" s="75" t="s">
        <v>2</v>
      </c>
      <c r="S56" s="75" t="s">
        <v>2</v>
      </c>
      <c r="T56" s="75" t="s">
        <v>2</v>
      </c>
      <c r="U56" s="75" t="s">
        <v>2</v>
      </c>
      <c r="V56" s="75" t="s">
        <v>2</v>
      </c>
      <c r="W56" s="75" t="s">
        <v>2</v>
      </c>
      <c r="X56" s="75" t="s">
        <v>2</v>
      </c>
      <c r="Y56" s="75" t="s">
        <v>2</v>
      </c>
      <c r="Z56" s="69" t="s">
        <v>79</v>
      </c>
      <c r="AA56" s="69" t="s">
        <v>966</v>
      </c>
      <c r="AB56" s="69" t="s">
        <v>916</v>
      </c>
      <c r="AC56" s="69" t="s">
        <v>915</v>
      </c>
      <c r="AD56" s="72">
        <v>520.20000000000005</v>
      </c>
      <c r="AE56" s="75" t="s">
        <v>9</v>
      </c>
      <c r="AF56" s="75" t="s">
        <v>46</v>
      </c>
      <c r="AG56" s="75" t="s">
        <v>46</v>
      </c>
      <c r="AH56" s="75" t="s">
        <v>46</v>
      </c>
      <c r="AI56" s="75" t="s">
        <v>46</v>
      </c>
      <c r="AJ56" s="72" t="str">
        <f>IF(Table13[[#This Row],[Indicative carbon footprint /inhaler (gCO2e) 7,8]]&gt;1796,"High","Low")</f>
        <v>Low</v>
      </c>
      <c r="AK56" s="75" t="s">
        <v>46</v>
      </c>
      <c r="AL56" s="72" t="s">
        <v>46</v>
      </c>
      <c r="AM56" s="70"/>
      <c r="AN56" s="69" t="s">
        <v>2</v>
      </c>
      <c r="AO56" s="69" t="s">
        <v>2</v>
      </c>
      <c r="AP56" s="69" t="s">
        <v>2</v>
      </c>
      <c r="AQ56" s="69" t="s">
        <v>2</v>
      </c>
      <c r="AR56" s="74" t="s">
        <v>93</v>
      </c>
      <c r="AS56" s="101" t="s">
        <v>34</v>
      </c>
      <c r="AT56" s="69" t="s">
        <v>257</v>
      </c>
      <c r="AU56" s="69" t="s">
        <v>46</v>
      </c>
      <c r="AV56" s="69" t="s">
        <v>46</v>
      </c>
      <c r="AW56" s="69" t="s">
        <v>46</v>
      </c>
      <c r="AX56" s="69" t="s">
        <v>46</v>
      </c>
      <c r="AY56" s="69" t="s">
        <v>46</v>
      </c>
      <c r="AZ56" s="69" t="s">
        <v>46</v>
      </c>
      <c r="BA56" s="69" t="s">
        <v>46</v>
      </c>
      <c r="BB56" s="69" t="s">
        <v>46</v>
      </c>
      <c r="BC56" s="69" t="s">
        <v>46</v>
      </c>
      <c r="BD56" s="69" t="s">
        <v>46</v>
      </c>
      <c r="BE56" s="69" t="s">
        <v>46</v>
      </c>
      <c r="BF56" s="69" t="s">
        <v>2</v>
      </c>
      <c r="BG56" s="69" t="s">
        <v>2</v>
      </c>
      <c r="BH56" s="69" t="s">
        <v>2</v>
      </c>
      <c r="BI56" s="69" t="s">
        <v>2</v>
      </c>
      <c r="BJ56" s="69" t="s">
        <v>2</v>
      </c>
      <c r="BK56" s="69" t="s">
        <v>2</v>
      </c>
      <c r="BL56" s="69" t="s">
        <v>46</v>
      </c>
      <c r="BM56" s="75" t="s">
        <v>843</v>
      </c>
      <c r="BN56" s="75" t="s">
        <v>2</v>
      </c>
      <c r="BO56" s="72">
        <v>520.20000000000005</v>
      </c>
      <c r="BP56" s="72">
        <v>520.20000000000005</v>
      </c>
      <c r="BQ56" s="75" t="s">
        <v>34</v>
      </c>
      <c r="BR56" s="72">
        <f>Table13[[#This Row],[Inhaler carbon footprint per inhaler in v2.37 (gCO2e) ]]-Table13[[#This Row],[Inhaler carbon footprint per inhaler in v2.36 (gCO2e) ]]</f>
        <v>0</v>
      </c>
      <c r="BS56" s="72" t="s">
        <v>809</v>
      </c>
    </row>
    <row r="57" spans="1:71" ht="60.95" customHeight="1" x14ac:dyDescent="0.25">
      <c r="A57" s="69" t="s">
        <v>1129</v>
      </c>
      <c r="B57" s="69" t="s">
        <v>94</v>
      </c>
      <c r="C57" s="69" t="s">
        <v>405</v>
      </c>
      <c r="D57" s="69" t="s">
        <v>12</v>
      </c>
      <c r="E57" s="69" t="s">
        <v>95</v>
      </c>
      <c r="F57" s="69" t="s">
        <v>3</v>
      </c>
      <c r="G57" s="69">
        <v>30</v>
      </c>
      <c r="H57" s="70">
        <v>44.5</v>
      </c>
      <c r="I57" s="70">
        <f t="shared" si="2"/>
        <v>1.4833333333333334</v>
      </c>
      <c r="J57" s="69" t="s">
        <v>7</v>
      </c>
      <c r="K57" s="69" t="s">
        <v>7</v>
      </c>
      <c r="L57" s="69" t="s">
        <v>8</v>
      </c>
      <c r="M57" s="75" t="s">
        <v>8</v>
      </c>
      <c r="N57" s="75" t="s">
        <v>2</v>
      </c>
      <c r="O57" s="75" t="s">
        <v>2</v>
      </c>
      <c r="P57" s="75" t="s">
        <v>2</v>
      </c>
      <c r="Q57" s="75" t="s">
        <v>2</v>
      </c>
      <c r="R57" s="75" t="s">
        <v>706</v>
      </c>
      <c r="S57" s="75" t="s">
        <v>2</v>
      </c>
      <c r="T57" s="75" t="s">
        <v>2</v>
      </c>
      <c r="U57" s="75" t="s">
        <v>2</v>
      </c>
      <c r="V57" s="75" t="s">
        <v>2</v>
      </c>
      <c r="W57" s="75" t="s">
        <v>2</v>
      </c>
      <c r="X57" s="75" t="s">
        <v>2</v>
      </c>
      <c r="Y57" s="75" t="s">
        <v>722</v>
      </c>
      <c r="Z57" s="69" t="s">
        <v>2</v>
      </c>
      <c r="AA57" s="69" t="s">
        <v>729</v>
      </c>
      <c r="AB57" s="69" t="s">
        <v>729</v>
      </c>
      <c r="AC57" s="69" t="s">
        <v>842</v>
      </c>
      <c r="AD57" s="72">
        <v>499</v>
      </c>
      <c r="AE57" s="75" t="s">
        <v>9</v>
      </c>
      <c r="AF57" s="75" t="s">
        <v>2</v>
      </c>
      <c r="AG57" s="75" t="s">
        <v>2</v>
      </c>
      <c r="AH57" s="75" t="s">
        <v>2</v>
      </c>
      <c r="AI57" s="75" t="s">
        <v>2</v>
      </c>
      <c r="AJ57" s="72" t="str">
        <f>IF(Table13[[#This Row],[Indicative carbon footprint /inhaler (gCO2e) 7,8]]&gt;1796,"High","Low")</f>
        <v>Low</v>
      </c>
      <c r="AK57" s="75" t="s">
        <v>46</v>
      </c>
      <c r="AL57" s="72" t="s">
        <v>46</v>
      </c>
      <c r="AM57" s="72" t="s">
        <v>787</v>
      </c>
      <c r="AN57" s="69" t="s">
        <v>2</v>
      </c>
      <c r="AO57" s="82" t="s">
        <v>2</v>
      </c>
      <c r="AP57" s="82" t="s">
        <v>2</v>
      </c>
      <c r="AQ57" s="82" t="s">
        <v>2</v>
      </c>
      <c r="AR57" s="74" t="s">
        <v>96</v>
      </c>
      <c r="AS57" s="101" t="s">
        <v>34</v>
      </c>
      <c r="AT57" s="69" t="s">
        <v>42</v>
      </c>
      <c r="AU57" s="72">
        <f>(0.13+0.01)*Table13[[#This Row],[Indicative carbon footprint /inhaler (gCO2e) 7,8]]</f>
        <v>69.860000000000014</v>
      </c>
      <c r="AV57" s="72">
        <f>(0.19+0.23)*Table13[[#This Row],[Indicative carbon footprint /inhaler (gCO2e) 7,8]]</f>
        <v>209.58</v>
      </c>
      <c r="AW57" s="72">
        <f>0.16*AD57</f>
        <v>79.84</v>
      </c>
      <c r="AX57" s="69" t="s">
        <v>420</v>
      </c>
      <c r="AY57" s="72">
        <f>(0.22+0.01)*AD57</f>
        <v>114.77000000000001</v>
      </c>
      <c r="AZ57" s="69" t="s">
        <v>46</v>
      </c>
      <c r="BA57" s="69" t="s">
        <v>2</v>
      </c>
      <c r="BB57" s="72">
        <f>0.01*AD57</f>
        <v>4.99</v>
      </c>
      <c r="BC57" s="69">
        <v>0</v>
      </c>
      <c r="BD57" s="72">
        <f>0.04*AD57</f>
        <v>19.96</v>
      </c>
      <c r="BE57" s="69" t="s">
        <v>2</v>
      </c>
      <c r="BF57" s="69" t="s">
        <v>2</v>
      </c>
      <c r="BG57" s="69" t="s">
        <v>2</v>
      </c>
      <c r="BH57" s="69" t="s">
        <v>2</v>
      </c>
      <c r="BI57" s="69" t="s">
        <v>2</v>
      </c>
      <c r="BJ57" s="69" t="s">
        <v>2</v>
      </c>
      <c r="BK57" s="69" t="s">
        <v>2</v>
      </c>
      <c r="BL57" s="69" t="s">
        <v>421</v>
      </c>
      <c r="BM57" s="75" t="s">
        <v>843</v>
      </c>
      <c r="BN57" s="75" t="s">
        <v>2</v>
      </c>
      <c r="BO57" s="72">
        <v>499</v>
      </c>
      <c r="BP57" s="72">
        <v>499</v>
      </c>
      <c r="BQ57" s="75" t="s">
        <v>34</v>
      </c>
      <c r="BR57" s="72">
        <f>Table13[[#This Row],[Inhaler carbon footprint per inhaler in v2.37 (gCO2e) ]]-Table13[[#This Row],[Inhaler carbon footprint per inhaler in v2.36 (gCO2e) ]]</f>
        <v>0</v>
      </c>
      <c r="BS57" s="72" t="s">
        <v>809</v>
      </c>
    </row>
    <row r="58" spans="1:71" ht="104.1" customHeight="1" x14ac:dyDescent="0.25">
      <c r="A58" s="69" t="s">
        <v>97</v>
      </c>
      <c r="B58" s="69" t="s">
        <v>94</v>
      </c>
      <c r="C58" s="69" t="s">
        <v>406</v>
      </c>
      <c r="D58" s="69" t="s">
        <v>12</v>
      </c>
      <c r="E58" s="69" t="s">
        <v>95</v>
      </c>
      <c r="F58" s="69" t="s">
        <v>3</v>
      </c>
      <c r="G58" s="69">
        <v>30</v>
      </c>
      <c r="H58" s="70">
        <v>44.5</v>
      </c>
      <c r="I58" s="70">
        <f t="shared" si="2"/>
        <v>1.4833333333333334</v>
      </c>
      <c r="J58" s="69" t="s">
        <v>7</v>
      </c>
      <c r="K58" s="69" t="s">
        <v>7</v>
      </c>
      <c r="L58" s="69" t="s">
        <v>8</v>
      </c>
      <c r="M58" s="75" t="s">
        <v>8</v>
      </c>
      <c r="N58" s="75" t="s">
        <v>2</v>
      </c>
      <c r="O58" s="75" t="s">
        <v>2</v>
      </c>
      <c r="P58" s="75" t="s">
        <v>2</v>
      </c>
      <c r="Q58" s="75" t="s">
        <v>2</v>
      </c>
      <c r="R58" s="75" t="s">
        <v>706</v>
      </c>
      <c r="S58" s="75" t="s">
        <v>2</v>
      </c>
      <c r="T58" s="75" t="s">
        <v>2</v>
      </c>
      <c r="U58" s="75" t="s">
        <v>2</v>
      </c>
      <c r="V58" s="75" t="s">
        <v>2</v>
      </c>
      <c r="W58" s="75" t="s">
        <v>2</v>
      </c>
      <c r="X58" s="75" t="s">
        <v>2</v>
      </c>
      <c r="Y58" s="75" t="s">
        <v>722</v>
      </c>
      <c r="Z58" s="69" t="s">
        <v>2</v>
      </c>
      <c r="AA58" s="69" t="s">
        <v>729</v>
      </c>
      <c r="AB58" s="69" t="s">
        <v>729</v>
      </c>
      <c r="AC58" s="69" t="s">
        <v>842</v>
      </c>
      <c r="AD58" s="72">
        <v>382</v>
      </c>
      <c r="AE58" s="75" t="s">
        <v>9</v>
      </c>
      <c r="AF58" s="75" t="s">
        <v>2</v>
      </c>
      <c r="AG58" s="75" t="s">
        <v>2</v>
      </c>
      <c r="AH58" s="75" t="s">
        <v>2</v>
      </c>
      <c r="AI58" s="75" t="s">
        <v>2</v>
      </c>
      <c r="AJ58" s="72" t="str">
        <f>IF(Table13[[#This Row],[Indicative carbon footprint /inhaler (gCO2e) 7,8]]&gt;1796,"High","Low")</f>
        <v>Low</v>
      </c>
      <c r="AK58" s="75" t="s">
        <v>46</v>
      </c>
      <c r="AL58" s="72" t="s">
        <v>46</v>
      </c>
      <c r="AM58" s="70"/>
      <c r="AN58" s="69" t="s">
        <v>2</v>
      </c>
      <c r="AO58" s="69" t="s">
        <v>2</v>
      </c>
      <c r="AP58" s="69" t="s">
        <v>2</v>
      </c>
      <c r="AQ58" s="69" t="s">
        <v>2</v>
      </c>
      <c r="AR58" s="74" t="s">
        <v>98</v>
      </c>
      <c r="AS58" s="101" t="s">
        <v>34</v>
      </c>
      <c r="AT58" s="69" t="s">
        <v>42</v>
      </c>
      <c r="AU58" s="72">
        <f>(0.17+0.01)*AD58</f>
        <v>68.760000000000005</v>
      </c>
      <c r="AV58" s="72">
        <f>0.25*AD58</f>
        <v>95.5</v>
      </c>
      <c r="AW58" s="72">
        <f>0.21*AD58</f>
        <v>80.22</v>
      </c>
      <c r="AX58" s="69" t="s">
        <v>420</v>
      </c>
      <c r="AY58" s="72">
        <f>0.29*AD58</f>
        <v>110.77999999999999</v>
      </c>
      <c r="AZ58" s="69" t="s">
        <v>46</v>
      </c>
      <c r="BA58" s="69" t="s">
        <v>2</v>
      </c>
      <c r="BB58" s="72">
        <f>0.02*AD58</f>
        <v>7.6400000000000006</v>
      </c>
      <c r="BC58" s="69">
        <v>0</v>
      </c>
      <c r="BD58" s="72">
        <f>0.06*AD58</f>
        <v>22.919999999999998</v>
      </c>
      <c r="BE58" s="69" t="s">
        <v>2</v>
      </c>
      <c r="BF58" s="69" t="s">
        <v>2</v>
      </c>
      <c r="BG58" s="69" t="s">
        <v>2</v>
      </c>
      <c r="BH58" s="69" t="s">
        <v>2</v>
      </c>
      <c r="BI58" s="69" t="s">
        <v>2</v>
      </c>
      <c r="BJ58" s="69" t="s">
        <v>2</v>
      </c>
      <c r="BK58" s="69" t="s">
        <v>2</v>
      </c>
      <c r="BL58" s="69" t="s">
        <v>421</v>
      </c>
      <c r="BM58" s="75" t="s">
        <v>11</v>
      </c>
      <c r="BN58" s="75" t="s">
        <v>2</v>
      </c>
      <c r="BO58" s="72">
        <v>382</v>
      </c>
      <c r="BP58" s="72">
        <v>382</v>
      </c>
      <c r="BQ58" s="75" t="s">
        <v>34</v>
      </c>
      <c r="BR58" s="72">
        <f>Table13[[#This Row],[Inhaler carbon footprint per inhaler in v2.37 (gCO2e) ]]-Table13[[#This Row],[Inhaler carbon footprint per inhaler in v2.36 (gCO2e) ]]</f>
        <v>0</v>
      </c>
      <c r="BS58" s="72" t="s">
        <v>809</v>
      </c>
    </row>
    <row r="59" spans="1:71" ht="75" x14ac:dyDescent="0.25">
      <c r="A59" s="69" t="s">
        <v>430</v>
      </c>
      <c r="B59" s="69" t="s">
        <v>426</v>
      </c>
      <c r="C59" s="69" t="s">
        <v>764</v>
      </c>
      <c r="D59" s="69" t="s">
        <v>12</v>
      </c>
      <c r="E59" s="69" t="s">
        <v>6</v>
      </c>
      <c r="F59" s="69" t="s">
        <v>3</v>
      </c>
      <c r="G59" s="69">
        <v>60</v>
      </c>
      <c r="H59" s="70">
        <v>14.47</v>
      </c>
      <c r="I59" s="70">
        <f t="shared" ref="I59:I90" si="3">H59/G59</f>
        <v>0.24116666666666667</v>
      </c>
      <c r="J59" s="69" t="s">
        <v>26</v>
      </c>
      <c r="K59" s="69" t="s">
        <v>26</v>
      </c>
      <c r="L59" s="69" t="s">
        <v>8</v>
      </c>
      <c r="M59" s="69" t="s">
        <v>8</v>
      </c>
      <c r="N59" s="69" t="s">
        <v>2</v>
      </c>
      <c r="O59" s="69" t="s">
        <v>2</v>
      </c>
      <c r="P59" s="69" t="s">
        <v>2</v>
      </c>
      <c r="Q59" s="75" t="s">
        <v>2</v>
      </c>
      <c r="R59" s="69" t="s">
        <v>700</v>
      </c>
      <c r="S59" s="69" t="s">
        <v>2</v>
      </c>
      <c r="T59" s="69" t="s">
        <v>2</v>
      </c>
      <c r="U59" s="75" t="s">
        <v>2</v>
      </c>
      <c r="V59" s="75" t="s">
        <v>2</v>
      </c>
      <c r="W59" s="75" t="s">
        <v>2</v>
      </c>
      <c r="X59" s="75" t="s">
        <v>2</v>
      </c>
      <c r="Y59" s="75" t="s">
        <v>720</v>
      </c>
      <c r="Z59" s="69" t="s">
        <v>79</v>
      </c>
      <c r="AA59" s="69" t="s">
        <v>714</v>
      </c>
      <c r="AB59" s="69" t="s">
        <v>714</v>
      </c>
      <c r="AC59" s="102" t="s">
        <v>831</v>
      </c>
      <c r="AD59" s="72">
        <v>898</v>
      </c>
      <c r="AE59" s="75" t="s">
        <v>1076</v>
      </c>
      <c r="AF59" s="75" t="s">
        <v>46</v>
      </c>
      <c r="AG59" s="75" t="s">
        <v>46</v>
      </c>
      <c r="AH59" s="75" t="s">
        <v>46</v>
      </c>
      <c r="AI59" s="75" t="s">
        <v>46</v>
      </c>
      <c r="AJ59" s="72" t="str">
        <f>IF(Table13[[#This Row],[Indicative carbon footprint /inhaler (gCO2e) 7,8]]&gt;1796,"High","Low")</f>
        <v>Low</v>
      </c>
      <c r="AK59" s="75" t="s">
        <v>46</v>
      </c>
      <c r="AL59" s="75" t="s">
        <v>46</v>
      </c>
      <c r="AM59" s="70"/>
      <c r="AN59" s="69" t="s">
        <v>2</v>
      </c>
      <c r="AO59" s="69" t="s">
        <v>2</v>
      </c>
      <c r="AP59" s="69" t="s">
        <v>2</v>
      </c>
      <c r="AQ59" s="69" t="s">
        <v>2</v>
      </c>
      <c r="AR59" s="74" t="s">
        <v>427</v>
      </c>
      <c r="AS59" s="69" t="s">
        <v>11</v>
      </c>
      <c r="AT59" s="69" t="s">
        <v>46</v>
      </c>
      <c r="AU59" s="69" t="s">
        <v>46</v>
      </c>
      <c r="AV59" s="69" t="s">
        <v>46</v>
      </c>
      <c r="AW59" s="69" t="s">
        <v>46</v>
      </c>
      <c r="AX59" s="69" t="s">
        <v>46</v>
      </c>
      <c r="AY59" s="69" t="s">
        <v>46</v>
      </c>
      <c r="AZ59" s="69" t="s">
        <v>46</v>
      </c>
      <c r="BA59" s="69" t="s">
        <v>46</v>
      </c>
      <c r="BB59" s="69" t="s">
        <v>46</v>
      </c>
      <c r="BC59" s="69" t="s">
        <v>46</v>
      </c>
      <c r="BD59" s="69" t="s">
        <v>46</v>
      </c>
      <c r="BE59" s="69" t="s">
        <v>46</v>
      </c>
      <c r="BF59" s="69" t="s">
        <v>2</v>
      </c>
      <c r="BG59" s="69" t="s">
        <v>2</v>
      </c>
      <c r="BH59" s="69" t="s">
        <v>2</v>
      </c>
      <c r="BI59" s="69" t="s">
        <v>2</v>
      </c>
      <c r="BJ59" s="69" t="s">
        <v>2</v>
      </c>
      <c r="BK59" s="69" t="s">
        <v>2</v>
      </c>
      <c r="BL59" s="69" t="s">
        <v>828</v>
      </c>
      <c r="BM59" s="75" t="s">
        <v>11</v>
      </c>
      <c r="BN59" s="75" t="s">
        <v>2</v>
      </c>
      <c r="BO59" s="72">
        <v>1125</v>
      </c>
      <c r="BP59" s="72">
        <v>898</v>
      </c>
      <c r="BQ59" s="75" t="s">
        <v>11</v>
      </c>
      <c r="BR59" s="72">
        <f>Table13[[#This Row],[Inhaler carbon footprint per inhaler in v2.37 (gCO2e) ]]-Table13[[#This Row],[Inhaler carbon footprint per inhaler in v2.36 (gCO2e) ]]</f>
        <v>-227</v>
      </c>
      <c r="BS59" s="72">
        <f>Table13[[#This Row],[Inhaler carbon footprint per inhaler in v2.37 (gCO2e) ]]-Table13[[#This Row],[Inhaler carbon footprint per inhaler in v2.36 (gCO2e) ]]</f>
        <v>-227</v>
      </c>
    </row>
    <row r="60" spans="1:71" ht="75" x14ac:dyDescent="0.25">
      <c r="A60" s="69" t="s">
        <v>431</v>
      </c>
      <c r="B60" s="69" t="s">
        <v>426</v>
      </c>
      <c r="C60" s="69" t="s">
        <v>757</v>
      </c>
      <c r="D60" s="69" t="s">
        <v>12</v>
      </c>
      <c r="E60" s="69" t="s">
        <v>6</v>
      </c>
      <c r="F60" s="69" t="s">
        <v>3</v>
      </c>
      <c r="G60" s="69">
        <v>60</v>
      </c>
      <c r="H60" s="70">
        <v>19.29</v>
      </c>
      <c r="I60" s="70">
        <f t="shared" si="3"/>
        <v>0.32150000000000001</v>
      </c>
      <c r="J60" s="69" t="s">
        <v>26</v>
      </c>
      <c r="K60" s="69" t="s">
        <v>26</v>
      </c>
      <c r="L60" s="69" t="s">
        <v>8</v>
      </c>
      <c r="M60" s="69" t="s">
        <v>8</v>
      </c>
      <c r="N60" s="69" t="s">
        <v>2</v>
      </c>
      <c r="O60" s="69" t="s">
        <v>2</v>
      </c>
      <c r="P60" s="69" t="s">
        <v>2</v>
      </c>
      <c r="Q60" s="75" t="s">
        <v>2</v>
      </c>
      <c r="R60" s="69" t="s">
        <v>2</v>
      </c>
      <c r="S60" s="69" t="s">
        <v>700</v>
      </c>
      <c r="T60" s="69" t="s">
        <v>2</v>
      </c>
      <c r="U60" s="75" t="s">
        <v>2</v>
      </c>
      <c r="V60" s="75" t="s">
        <v>2</v>
      </c>
      <c r="W60" s="75" t="s">
        <v>2</v>
      </c>
      <c r="X60" s="75" t="s">
        <v>2</v>
      </c>
      <c r="Y60" s="75" t="s">
        <v>720</v>
      </c>
      <c r="Z60" s="69" t="s">
        <v>79</v>
      </c>
      <c r="AA60" s="69" t="s">
        <v>714</v>
      </c>
      <c r="AB60" s="69" t="s">
        <v>714</v>
      </c>
      <c r="AC60" s="102" t="s">
        <v>831</v>
      </c>
      <c r="AD60" s="72">
        <v>898</v>
      </c>
      <c r="AE60" s="75" t="s">
        <v>1078</v>
      </c>
      <c r="AF60" s="75" t="s">
        <v>46</v>
      </c>
      <c r="AG60" s="75" t="s">
        <v>46</v>
      </c>
      <c r="AH60" s="75" t="s">
        <v>46</v>
      </c>
      <c r="AI60" s="75" t="s">
        <v>46</v>
      </c>
      <c r="AJ60" s="72" t="str">
        <f>IF(Table13[[#This Row],[Indicative carbon footprint /inhaler (gCO2e) 7,8]]&gt;1796,"High","Low")</f>
        <v>Low</v>
      </c>
      <c r="AK60" s="75" t="s">
        <v>46</v>
      </c>
      <c r="AL60" s="75" t="s">
        <v>46</v>
      </c>
      <c r="AM60" s="70"/>
      <c r="AN60" s="69" t="s">
        <v>2</v>
      </c>
      <c r="AO60" s="69" t="s">
        <v>2</v>
      </c>
      <c r="AP60" s="69" t="s">
        <v>2</v>
      </c>
      <c r="AQ60" s="69" t="s">
        <v>2</v>
      </c>
      <c r="AR60" s="74" t="s">
        <v>428</v>
      </c>
      <c r="AS60" s="69" t="s">
        <v>11</v>
      </c>
      <c r="AT60" s="69" t="s">
        <v>46</v>
      </c>
      <c r="AU60" s="69" t="s">
        <v>46</v>
      </c>
      <c r="AV60" s="69" t="s">
        <v>46</v>
      </c>
      <c r="AW60" s="69" t="s">
        <v>46</v>
      </c>
      <c r="AX60" s="69" t="s">
        <v>46</v>
      </c>
      <c r="AY60" s="69" t="s">
        <v>46</v>
      </c>
      <c r="AZ60" s="69" t="s">
        <v>46</v>
      </c>
      <c r="BA60" s="69" t="s">
        <v>46</v>
      </c>
      <c r="BB60" s="69" t="s">
        <v>46</v>
      </c>
      <c r="BC60" s="69" t="s">
        <v>46</v>
      </c>
      <c r="BD60" s="69" t="s">
        <v>46</v>
      </c>
      <c r="BE60" s="69" t="s">
        <v>46</v>
      </c>
      <c r="BF60" s="69" t="s">
        <v>2</v>
      </c>
      <c r="BG60" s="69" t="s">
        <v>2</v>
      </c>
      <c r="BH60" s="69" t="s">
        <v>2</v>
      </c>
      <c r="BI60" s="69" t="s">
        <v>2</v>
      </c>
      <c r="BJ60" s="69" t="s">
        <v>2</v>
      </c>
      <c r="BK60" s="69" t="s">
        <v>2</v>
      </c>
      <c r="BL60" s="69" t="s">
        <v>828</v>
      </c>
      <c r="BM60" s="75" t="s">
        <v>11</v>
      </c>
      <c r="BN60" s="75" t="s">
        <v>2</v>
      </c>
      <c r="BO60" s="72">
        <v>1125</v>
      </c>
      <c r="BP60" s="72">
        <v>898</v>
      </c>
      <c r="BQ60" s="75" t="s">
        <v>11</v>
      </c>
      <c r="BR60" s="72">
        <f>Table13[[#This Row],[Inhaler carbon footprint per inhaler in v2.37 (gCO2e) ]]-Table13[[#This Row],[Inhaler carbon footprint per inhaler in v2.36 (gCO2e) ]]</f>
        <v>-227</v>
      </c>
      <c r="BS60" s="72">
        <f>Table13[[#This Row],[Inhaler carbon footprint per inhaler in v2.37 (gCO2e) ]]-Table13[[#This Row],[Inhaler carbon footprint per inhaler in v2.36 (gCO2e) ]]</f>
        <v>-227</v>
      </c>
    </row>
    <row r="61" spans="1:71" ht="75" x14ac:dyDescent="0.25">
      <c r="A61" s="69" t="s">
        <v>432</v>
      </c>
      <c r="B61" s="69" t="s">
        <v>426</v>
      </c>
      <c r="C61" s="69" t="s">
        <v>758</v>
      </c>
      <c r="D61" s="69" t="s">
        <v>5</v>
      </c>
      <c r="E61" s="69" t="s">
        <v>6</v>
      </c>
      <c r="F61" s="69" t="s">
        <v>3</v>
      </c>
      <c r="G61" s="69">
        <v>60</v>
      </c>
      <c r="H61" s="70">
        <v>16.12</v>
      </c>
      <c r="I61" s="70">
        <f t="shared" si="3"/>
        <v>0.26866666666666666</v>
      </c>
      <c r="J61" s="69" t="s">
        <v>26</v>
      </c>
      <c r="K61" s="69" t="s">
        <v>26</v>
      </c>
      <c r="L61" s="69" t="s">
        <v>8</v>
      </c>
      <c r="M61" s="69" t="s">
        <v>8</v>
      </c>
      <c r="N61" s="69" t="s">
        <v>2</v>
      </c>
      <c r="O61" s="69" t="s">
        <v>2</v>
      </c>
      <c r="P61" s="69" t="s">
        <v>2</v>
      </c>
      <c r="Q61" s="75" t="s">
        <v>2</v>
      </c>
      <c r="R61" s="69" t="s">
        <v>2</v>
      </c>
      <c r="S61" s="69" t="s">
        <v>2</v>
      </c>
      <c r="T61" s="69" t="s">
        <v>700</v>
      </c>
      <c r="U61" s="75" t="s">
        <v>2</v>
      </c>
      <c r="V61" s="75" t="s">
        <v>2</v>
      </c>
      <c r="W61" s="75" t="s">
        <v>2</v>
      </c>
      <c r="X61" s="75" t="s">
        <v>2</v>
      </c>
      <c r="Y61" s="75" t="s">
        <v>720</v>
      </c>
      <c r="Z61" s="69" t="s">
        <v>79</v>
      </c>
      <c r="AA61" s="69" t="s">
        <v>714</v>
      </c>
      <c r="AB61" s="69" t="s">
        <v>714</v>
      </c>
      <c r="AC61" s="102" t="s">
        <v>831</v>
      </c>
      <c r="AD61" s="72">
        <v>898</v>
      </c>
      <c r="AE61" s="75" t="s">
        <v>1078</v>
      </c>
      <c r="AF61" s="75" t="s">
        <v>46</v>
      </c>
      <c r="AG61" s="75" t="s">
        <v>46</v>
      </c>
      <c r="AH61" s="75" t="s">
        <v>46</v>
      </c>
      <c r="AI61" s="75" t="s">
        <v>46</v>
      </c>
      <c r="AJ61" s="72" t="str">
        <f>IF(Table13[[#This Row],[Indicative carbon footprint /inhaler (gCO2e) 7,8]]&gt;1796,"High","Low")</f>
        <v>Low</v>
      </c>
      <c r="AK61" s="75" t="s">
        <v>46</v>
      </c>
      <c r="AL61" s="75" t="s">
        <v>46</v>
      </c>
      <c r="AM61" s="70"/>
      <c r="AN61" s="69" t="s">
        <v>2</v>
      </c>
      <c r="AO61" s="69" t="s">
        <v>2</v>
      </c>
      <c r="AP61" s="69" t="s">
        <v>2</v>
      </c>
      <c r="AQ61" s="69" t="s">
        <v>2</v>
      </c>
      <c r="AR61" s="74" t="s">
        <v>429</v>
      </c>
      <c r="AS61" s="69" t="s">
        <v>11</v>
      </c>
      <c r="AT61" s="69" t="s">
        <v>46</v>
      </c>
      <c r="AU61" s="69" t="s">
        <v>46</v>
      </c>
      <c r="AV61" s="69" t="s">
        <v>46</v>
      </c>
      <c r="AW61" s="69" t="s">
        <v>46</v>
      </c>
      <c r="AX61" s="69" t="s">
        <v>46</v>
      </c>
      <c r="AY61" s="69" t="s">
        <v>46</v>
      </c>
      <c r="AZ61" s="69" t="s">
        <v>46</v>
      </c>
      <c r="BA61" s="69" t="s">
        <v>46</v>
      </c>
      <c r="BB61" s="69" t="s">
        <v>46</v>
      </c>
      <c r="BC61" s="69" t="s">
        <v>46</v>
      </c>
      <c r="BD61" s="69" t="s">
        <v>46</v>
      </c>
      <c r="BE61" s="69" t="s">
        <v>46</v>
      </c>
      <c r="BF61" s="69" t="s">
        <v>2</v>
      </c>
      <c r="BG61" s="69" t="s">
        <v>2</v>
      </c>
      <c r="BH61" s="69" t="s">
        <v>2</v>
      </c>
      <c r="BI61" s="69" t="s">
        <v>2</v>
      </c>
      <c r="BJ61" s="69" t="s">
        <v>2</v>
      </c>
      <c r="BK61" s="69" t="s">
        <v>2</v>
      </c>
      <c r="BL61" s="69" t="s">
        <v>828</v>
      </c>
      <c r="BM61" s="75" t="s">
        <v>11</v>
      </c>
      <c r="BN61" s="75" t="s">
        <v>2</v>
      </c>
      <c r="BO61" s="72">
        <v>1125</v>
      </c>
      <c r="BP61" s="72">
        <v>898</v>
      </c>
      <c r="BQ61" s="75" t="s">
        <v>11</v>
      </c>
      <c r="BR61" s="72">
        <f>Table13[[#This Row],[Inhaler carbon footprint per inhaler in v2.37 (gCO2e) ]]-Table13[[#This Row],[Inhaler carbon footprint per inhaler in v2.36 (gCO2e) ]]</f>
        <v>-227</v>
      </c>
      <c r="BS61" s="72">
        <f>Table13[[#This Row],[Inhaler carbon footprint per inhaler in v2.37 (gCO2e) ]]-Table13[[#This Row],[Inhaler carbon footprint per inhaler in v2.36 (gCO2e) ]]</f>
        <v>-227</v>
      </c>
    </row>
    <row r="62" spans="1:71" ht="330" x14ac:dyDescent="0.25">
      <c r="A62" s="69" t="s">
        <v>99</v>
      </c>
      <c r="B62" s="69" t="s">
        <v>30</v>
      </c>
      <c r="C62" s="69" t="s">
        <v>330</v>
      </c>
      <c r="D62" s="69" t="s">
        <v>12</v>
      </c>
      <c r="E62" s="69" t="s">
        <v>25</v>
      </c>
      <c r="F62" s="69" t="s">
        <v>3</v>
      </c>
      <c r="G62" s="69">
        <v>60</v>
      </c>
      <c r="H62" s="70">
        <v>8</v>
      </c>
      <c r="I62" s="70">
        <f t="shared" si="3"/>
        <v>0.13333333333333333</v>
      </c>
      <c r="J62" s="69" t="s">
        <v>100</v>
      </c>
      <c r="K62" s="69" t="s">
        <v>101</v>
      </c>
      <c r="L62" s="69" t="s">
        <v>2</v>
      </c>
      <c r="M62" s="75" t="s">
        <v>8</v>
      </c>
      <c r="N62" s="75" t="s">
        <v>2</v>
      </c>
      <c r="O62" s="75" t="s">
        <v>700</v>
      </c>
      <c r="P62" s="75" t="s">
        <v>699</v>
      </c>
      <c r="Q62" s="75" t="s">
        <v>778</v>
      </c>
      <c r="R62" s="75" t="s">
        <v>2</v>
      </c>
      <c r="S62" s="75" t="s">
        <v>2</v>
      </c>
      <c r="T62" s="75" t="s">
        <v>2</v>
      </c>
      <c r="U62" s="75" t="s">
        <v>2</v>
      </c>
      <c r="V62" s="75" t="s">
        <v>2</v>
      </c>
      <c r="W62" s="75" t="s">
        <v>2</v>
      </c>
      <c r="X62" s="75" t="s">
        <v>2</v>
      </c>
      <c r="Y62" s="75" t="s">
        <v>720</v>
      </c>
      <c r="Z62" s="69" t="s">
        <v>79</v>
      </c>
      <c r="AA62" s="69" t="s">
        <v>727</v>
      </c>
      <c r="AB62" s="69" t="s">
        <v>918</v>
      </c>
      <c r="AC62" s="69" t="s">
        <v>917</v>
      </c>
      <c r="AD62" s="72">
        <v>833</v>
      </c>
      <c r="AE62" s="75" t="s">
        <v>9</v>
      </c>
      <c r="AF62" s="75" t="s">
        <v>46</v>
      </c>
      <c r="AG62" s="75" t="s">
        <v>46</v>
      </c>
      <c r="AH62" s="75" t="s">
        <v>46</v>
      </c>
      <c r="AI62" s="75" t="s">
        <v>46</v>
      </c>
      <c r="AJ62" s="72" t="str">
        <f>IF(Table13[[#This Row],[Indicative carbon footprint /inhaler (gCO2e) 7,8]]&gt;1796,"High","Low")</f>
        <v>Low</v>
      </c>
      <c r="AK62" s="75" t="s">
        <v>46</v>
      </c>
      <c r="AL62" s="72" t="s">
        <v>46</v>
      </c>
      <c r="AM62" s="69" t="s">
        <v>416</v>
      </c>
      <c r="AN62" s="69" t="s">
        <v>2</v>
      </c>
      <c r="AO62" s="69" t="s">
        <v>2</v>
      </c>
      <c r="AP62" s="69" t="s">
        <v>2</v>
      </c>
      <c r="AQ62" s="69" t="s">
        <v>2</v>
      </c>
      <c r="AR62" s="74" t="s">
        <v>547</v>
      </c>
      <c r="AS62" s="69" t="s">
        <v>34</v>
      </c>
      <c r="AT62" s="69" t="s">
        <v>35</v>
      </c>
      <c r="AU62" s="69">
        <v>243</v>
      </c>
      <c r="AV62" s="69">
        <v>258</v>
      </c>
      <c r="AW62" s="69" t="s">
        <v>422</v>
      </c>
      <c r="AX62" s="69" t="s">
        <v>272</v>
      </c>
      <c r="AY62" s="69">
        <v>152</v>
      </c>
      <c r="AZ62" s="69" t="s">
        <v>423</v>
      </c>
      <c r="BA62" s="69" t="s">
        <v>423</v>
      </c>
      <c r="BB62" s="69">
        <v>62</v>
      </c>
      <c r="BC62" s="69">
        <v>126</v>
      </c>
      <c r="BD62" s="69">
        <v>9</v>
      </c>
      <c r="BE62" s="69" t="s">
        <v>46</v>
      </c>
      <c r="BF62" s="69" t="s">
        <v>2</v>
      </c>
      <c r="BG62" s="69" t="s">
        <v>2</v>
      </c>
      <c r="BH62" s="69" t="s">
        <v>2</v>
      </c>
      <c r="BI62" s="69" t="s">
        <v>2</v>
      </c>
      <c r="BJ62" s="69" t="s">
        <v>2</v>
      </c>
      <c r="BK62" s="69" t="s">
        <v>2</v>
      </c>
      <c r="BL62" s="69" t="s">
        <v>36</v>
      </c>
      <c r="BM62" s="75" t="s">
        <v>843</v>
      </c>
      <c r="BN62" s="75" t="s">
        <v>2</v>
      </c>
      <c r="BO62" s="72">
        <v>833</v>
      </c>
      <c r="BP62" s="72">
        <v>833</v>
      </c>
      <c r="BQ62" s="75" t="s">
        <v>34</v>
      </c>
      <c r="BR62" s="72">
        <f>Table13[[#This Row],[Inhaler carbon footprint per inhaler in v2.37 (gCO2e) ]]-Table13[[#This Row],[Inhaler carbon footprint per inhaler in v2.36 (gCO2e) ]]</f>
        <v>0</v>
      </c>
      <c r="BS62" s="72" t="s">
        <v>809</v>
      </c>
    </row>
    <row r="63" spans="1:71" ht="330" x14ac:dyDescent="0.25">
      <c r="A63" s="69" t="s">
        <v>102</v>
      </c>
      <c r="B63" s="69" t="s">
        <v>30</v>
      </c>
      <c r="C63" s="69" t="s">
        <v>331</v>
      </c>
      <c r="D63" s="69" t="s">
        <v>12</v>
      </c>
      <c r="E63" s="69" t="s">
        <v>25</v>
      </c>
      <c r="F63" s="69" t="s">
        <v>3</v>
      </c>
      <c r="G63" s="69">
        <v>60</v>
      </c>
      <c r="H63" s="70">
        <v>25.51</v>
      </c>
      <c r="I63" s="70">
        <f t="shared" si="3"/>
        <v>0.42516666666666669</v>
      </c>
      <c r="J63" s="69" t="s">
        <v>103</v>
      </c>
      <c r="K63" s="69" t="s">
        <v>104</v>
      </c>
      <c r="L63" s="69" t="s">
        <v>2</v>
      </c>
      <c r="M63" s="75" t="s">
        <v>8</v>
      </c>
      <c r="N63" s="75" t="s">
        <v>2</v>
      </c>
      <c r="O63" s="75" t="s">
        <v>2</v>
      </c>
      <c r="P63" s="75" t="s">
        <v>700</v>
      </c>
      <c r="Q63" s="75" t="s">
        <v>699</v>
      </c>
      <c r="R63" s="75" t="s">
        <v>2</v>
      </c>
      <c r="S63" s="75" t="s">
        <v>2</v>
      </c>
      <c r="T63" s="75" t="s">
        <v>2</v>
      </c>
      <c r="U63" s="75" t="s">
        <v>2</v>
      </c>
      <c r="V63" s="75" t="s">
        <v>2</v>
      </c>
      <c r="W63" s="75" t="s">
        <v>2</v>
      </c>
      <c r="X63" s="75" t="s">
        <v>2</v>
      </c>
      <c r="Y63" s="75" t="s">
        <v>720</v>
      </c>
      <c r="Z63" s="69" t="s">
        <v>79</v>
      </c>
      <c r="AA63" s="69" t="s">
        <v>728</v>
      </c>
      <c r="AB63" s="69" t="s">
        <v>920</v>
      </c>
      <c r="AC63" s="69" t="s">
        <v>917</v>
      </c>
      <c r="AD63" s="72">
        <v>833</v>
      </c>
      <c r="AE63" s="75" t="s">
        <v>9</v>
      </c>
      <c r="AF63" s="75" t="s">
        <v>46</v>
      </c>
      <c r="AG63" s="75" t="s">
        <v>46</v>
      </c>
      <c r="AH63" s="75" t="s">
        <v>46</v>
      </c>
      <c r="AI63" s="75" t="s">
        <v>46</v>
      </c>
      <c r="AJ63" s="72" t="str">
        <f>IF(Table13[[#This Row],[Indicative carbon footprint /inhaler (gCO2e) 7,8]]&gt;1796,"High","Low")</f>
        <v>Low</v>
      </c>
      <c r="AK63" s="75" t="s">
        <v>46</v>
      </c>
      <c r="AL63" s="72" t="s">
        <v>46</v>
      </c>
      <c r="AM63" s="69" t="s">
        <v>416</v>
      </c>
      <c r="AN63" s="69" t="s">
        <v>2</v>
      </c>
      <c r="AO63" s="69" t="s">
        <v>2</v>
      </c>
      <c r="AP63" s="69" t="s">
        <v>2</v>
      </c>
      <c r="AQ63" s="69" t="s">
        <v>2</v>
      </c>
      <c r="AR63" s="74" t="s">
        <v>546</v>
      </c>
      <c r="AS63" s="69" t="s">
        <v>34</v>
      </c>
      <c r="AT63" s="69" t="s">
        <v>35</v>
      </c>
      <c r="AU63" s="69">
        <v>243</v>
      </c>
      <c r="AV63" s="69">
        <v>258</v>
      </c>
      <c r="AW63" s="69" t="s">
        <v>422</v>
      </c>
      <c r="AX63" s="69" t="s">
        <v>272</v>
      </c>
      <c r="AY63" s="69">
        <v>152</v>
      </c>
      <c r="AZ63" s="69" t="s">
        <v>423</v>
      </c>
      <c r="BA63" s="69" t="s">
        <v>423</v>
      </c>
      <c r="BB63" s="69">
        <v>62</v>
      </c>
      <c r="BC63" s="69">
        <v>126</v>
      </c>
      <c r="BD63" s="69">
        <v>9</v>
      </c>
      <c r="BE63" s="69" t="s">
        <v>46</v>
      </c>
      <c r="BF63" s="69" t="s">
        <v>2</v>
      </c>
      <c r="BG63" s="69" t="s">
        <v>2</v>
      </c>
      <c r="BH63" s="69" t="s">
        <v>2</v>
      </c>
      <c r="BI63" s="69" t="s">
        <v>2</v>
      </c>
      <c r="BJ63" s="69" t="s">
        <v>2</v>
      </c>
      <c r="BK63" s="69" t="s">
        <v>2</v>
      </c>
      <c r="BL63" s="69" t="s">
        <v>36</v>
      </c>
      <c r="BM63" s="75" t="s">
        <v>843</v>
      </c>
      <c r="BN63" s="75" t="s">
        <v>2</v>
      </c>
      <c r="BO63" s="72">
        <v>833</v>
      </c>
      <c r="BP63" s="72">
        <v>833</v>
      </c>
      <c r="BQ63" s="75" t="s">
        <v>34</v>
      </c>
      <c r="BR63" s="72">
        <f>Table13[[#This Row],[Inhaler carbon footprint per inhaler in v2.37 (gCO2e) ]]-Table13[[#This Row],[Inhaler carbon footprint per inhaler in v2.36 (gCO2e) ]]</f>
        <v>0</v>
      </c>
      <c r="BS63" s="72" t="s">
        <v>809</v>
      </c>
    </row>
    <row r="64" spans="1:71" ht="330" x14ac:dyDescent="0.25">
      <c r="A64" s="69" t="s">
        <v>105</v>
      </c>
      <c r="B64" s="69" t="s">
        <v>30</v>
      </c>
      <c r="C64" s="69" t="s">
        <v>332</v>
      </c>
      <c r="D64" s="69" t="s">
        <v>12</v>
      </c>
      <c r="E64" s="69" t="s">
        <v>25</v>
      </c>
      <c r="F64" s="69" t="s">
        <v>3</v>
      </c>
      <c r="G64" s="69">
        <v>60</v>
      </c>
      <c r="H64" s="70">
        <v>4</v>
      </c>
      <c r="I64" s="70">
        <f t="shared" si="3"/>
        <v>6.6666666666666666E-2</v>
      </c>
      <c r="J64" s="69" t="s">
        <v>100</v>
      </c>
      <c r="K64" s="69" t="s">
        <v>101</v>
      </c>
      <c r="L64" s="69" t="s">
        <v>2</v>
      </c>
      <c r="M64" s="75" t="s">
        <v>8</v>
      </c>
      <c r="N64" s="75" t="s">
        <v>2</v>
      </c>
      <c r="O64" s="75" t="s">
        <v>701</v>
      </c>
      <c r="P64" s="75" t="s">
        <v>702</v>
      </c>
      <c r="Q64" s="75" t="s">
        <v>2</v>
      </c>
      <c r="R64" s="75" t="s">
        <v>2</v>
      </c>
      <c r="S64" s="75" t="s">
        <v>2</v>
      </c>
      <c r="T64" s="75" t="s">
        <v>2</v>
      </c>
      <c r="U64" s="75" t="s">
        <v>2</v>
      </c>
      <c r="V64" s="75" t="s">
        <v>2</v>
      </c>
      <c r="W64" s="75" t="s">
        <v>2</v>
      </c>
      <c r="X64" s="75" t="s">
        <v>2</v>
      </c>
      <c r="Y64" s="75" t="s">
        <v>720</v>
      </c>
      <c r="Z64" s="69" t="s">
        <v>79</v>
      </c>
      <c r="AA64" s="69" t="s">
        <v>726</v>
      </c>
      <c r="AB64" s="69" t="s">
        <v>919</v>
      </c>
      <c r="AC64" s="69" t="s">
        <v>917</v>
      </c>
      <c r="AD64" s="72">
        <v>833</v>
      </c>
      <c r="AE64" s="75" t="s">
        <v>9</v>
      </c>
      <c r="AF64" s="75" t="s">
        <v>46</v>
      </c>
      <c r="AG64" s="75" t="s">
        <v>46</v>
      </c>
      <c r="AH64" s="75" t="s">
        <v>46</v>
      </c>
      <c r="AI64" s="75" t="s">
        <v>46</v>
      </c>
      <c r="AJ64" s="72" t="str">
        <f>IF(Table13[[#This Row],[Indicative carbon footprint /inhaler (gCO2e) 7,8]]&gt;1796,"High","Low")</f>
        <v>Low</v>
      </c>
      <c r="AK64" s="75" t="s">
        <v>46</v>
      </c>
      <c r="AL64" s="72" t="s">
        <v>46</v>
      </c>
      <c r="AM64" s="69" t="s">
        <v>416</v>
      </c>
      <c r="AN64" s="69" t="s">
        <v>2</v>
      </c>
      <c r="AO64" s="69" t="s">
        <v>2</v>
      </c>
      <c r="AP64" s="69" t="s">
        <v>2</v>
      </c>
      <c r="AQ64" s="69" t="s">
        <v>2</v>
      </c>
      <c r="AR64" s="74" t="s">
        <v>106</v>
      </c>
      <c r="AS64" s="69" t="s">
        <v>34</v>
      </c>
      <c r="AT64" s="69" t="s">
        <v>35</v>
      </c>
      <c r="AU64" s="69">
        <v>243</v>
      </c>
      <c r="AV64" s="69">
        <v>258</v>
      </c>
      <c r="AW64" s="69" t="s">
        <v>422</v>
      </c>
      <c r="AX64" s="69" t="s">
        <v>272</v>
      </c>
      <c r="AY64" s="69">
        <v>152</v>
      </c>
      <c r="AZ64" s="69" t="s">
        <v>423</v>
      </c>
      <c r="BA64" s="69" t="s">
        <v>423</v>
      </c>
      <c r="BB64" s="69">
        <v>62</v>
      </c>
      <c r="BC64" s="69">
        <v>126</v>
      </c>
      <c r="BD64" s="69">
        <v>9</v>
      </c>
      <c r="BE64" s="69" t="s">
        <v>46</v>
      </c>
      <c r="BF64" s="69" t="s">
        <v>2</v>
      </c>
      <c r="BG64" s="69" t="s">
        <v>2</v>
      </c>
      <c r="BH64" s="69" t="s">
        <v>2</v>
      </c>
      <c r="BI64" s="69" t="s">
        <v>2</v>
      </c>
      <c r="BJ64" s="69" t="s">
        <v>2</v>
      </c>
      <c r="BK64" s="69" t="s">
        <v>2</v>
      </c>
      <c r="BL64" s="69" t="s">
        <v>36</v>
      </c>
      <c r="BM64" s="75" t="s">
        <v>843</v>
      </c>
      <c r="BN64" s="75" t="s">
        <v>2</v>
      </c>
      <c r="BO64" s="72">
        <v>833</v>
      </c>
      <c r="BP64" s="72">
        <v>833</v>
      </c>
      <c r="BQ64" s="75" t="s">
        <v>34</v>
      </c>
      <c r="BR64" s="72">
        <f>Table13[[#This Row],[Inhaler carbon footprint per inhaler in v2.37 (gCO2e) ]]-Table13[[#This Row],[Inhaler carbon footprint per inhaler in v2.36 (gCO2e) ]]</f>
        <v>0</v>
      </c>
      <c r="BS64" s="72" t="s">
        <v>809</v>
      </c>
    </row>
    <row r="65" spans="1:71" ht="330" x14ac:dyDescent="0.25">
      <c r="A65" s="69" t="s">
        <v>107</v>
      </c>
      <c r="B65" s="69" t="s">
        <v>30</v>
      </c>
      <c r="C65" s="69" t="s">
        <v>333</v>
      </c>
      <c r="D65" s="69" t="s">
        <v>12</v>
      </c>
      <c r="E65" s="69" t="s">
        <v>25</v>
      </c>
      <c r="F65" s="69" t="s">
        <v>3</v>
      </c>
      <c r="G65" s="69">
        <v>60</v>
      </c>
      <c r="H65" s="70">
        <v>43.37</v>
      </c>
      <c r="I65" s="70">
        <f t="shared" si="3"/>
        <v>0.72283333333333333</v>
      </c>
      <c r="J65" s="69" t="s">
        <v>103</v>
      </c>
      <c r="K65" s="69" t="s">
        <v>104</v>
      </c>
      <c r="L65" s="69" t="s">
        <v>2</v>
      </c>
      <c r="M65" s="75" t="s">
        <v>8</v>
      </c>
      <c r="N65" s="75" t="s">
        <v>2</v>
      </c>
      <c r="O65" s="75" t="s">
        <v>2</v>
      </c>
      <c r="P65" s="75" t="s">
        <v>2</v>
      </c>
      <c r="Q65" s="75" t="s">
        <v>700</v>
      </c>
      <c r="R65" s="75" t="s">
        <v>2</v>
      </c>
      <c r="S65" s="75" t="s">
        <v>2</v>
      </c>
      <c r="T65" s="75" t="s">
        <v>2</v>
      </c>
      <c r="U65" s="75" t="s">
        <v>2</v>
      </c>
      <c r="V65" s="75" t="s">
        <v>2</v>
      </c>
      <c r="W65" s="75" t="s">
        <v>2</v>
      </c>
      <c r="X65" s="75" t="s">
        <v>2</v>
      </c>
      <c r="Y65" s="75" t="s">
        <v>720</v>
      </c>
      <c r="Z65" s="69" t="s">
        <v>79</v>
      </c>
      <c r="AA65" s="69" t="s">
        <v>728</v>
      </c>
      <c r="AB65" s="69" t="s">
        <v>920</v>
      </c>
      <c r="AC65" s="69" t="s">
        <v>917</v>
      </c>
      <c r="AD65" s="72">
        <v>833</v>
      </c>
      <c r="AE65" s="75" t="s">
        <v>9</v>
      </c>
      <c r="AF65" s="75" t="s">
        <v>46</v>
      </c>
      <c r="AG65" s="75" t="s">
        <v>46</v>
      </c>
      <c r="AH65" s="75" t="s">
        <v>46</v>
      </c>
      <c r="AI65" s="75" t="s">
        <v>46</v>
      </c>
      <c r="AJ65" s="72" t="str">
        <f>IF(Table13[[#This Row],[Indicative carbon footprint /inhaler (gCO2e) 7,8]]&gt;1796,"High","Low")</f>
        <v>Low</v>
      </c>
      <c r="AK65" s="75" t="s">
        <v>46</v>
      </c>
      <c r="AL65" s="72" t="s">
        <v>46</v>
      </c>
      <c r="AM65" s="69" t="s">
        <v>416</v>
      </c>
      <c r="AN65" s="69" t="s">
        <v>2</v>
      </c>
      <c r="AO65" s="69" t="s">
        <v>2</v>
      </c>
      <c r="AP65" s="69" t="s">
        <v>2</v>
      </c>
      <c r="AQ65" s="69" t="s">
        <v>2</v>
      </c>
      <c r="AR65" s="74" t="s">
        <v>108</v>
      </c>
      <c r="AS65" s="69" t="s">
        <v>34</v>
      </c>
      <c r="AT65" s="69" t="s">
        <v>35</v>
      </c>
      <c r="AU65" s="69">
        <v>243</v>
      </c>
      <c r="AV65" s="69">
        <v>258</v>
      </c>
      <c r="AW65" s="69" t="s">
        <v>422</v>
      </c>
      <c r="AX65" s="69" t="s">
        <v>272</v>
      </c>
      <c r="AY65" s="69">
        <v>152</v>
      </c>
      <c r="AZ65" s="69" t="s">
        <v>423</v>
      </c>
      <c r="BA65" s="69" t="s">
        <v>423</v>
      </c>
      <c r="BB65" s="69">
        <v>62</v>
      </c>
      <c r="BC65" s="69">
        <v>126</v>
      </c>
      <c r="BD65" s="69">
        <v>9</v>
      </c>
      <c r="BE65" s="69" t="s">
        <v>46</v>
      </c>
      <c r="BF65" s="69" t="s">
        <v>2</v>
      </c>
      <c r="BG65" s="69" t="s">
        <v>2</v>
      </c>
      <c r="BH65" s="69" t="s">
        <v>2</v>
      </c>
      <c r="BI65" s="69" t="s">
        <v>2</v>
      </c>
      <c r="BJ65" s="69" t="s">
        <v>2</v>
      </c>
      <c r="BK65" s="69" t="s">
        <v>2</v>
      </c>
      <c r="BL65" s="69" t="s">
        <v>36</v>
      </c>
      <c r="BM65" s="75" t="s">
        <v>843</v>
      </c>
      <c r="BN65" s="75" t="s">
        <v>2</v>
      </c>
      <c r="BO65" s="72">
        <v>833</v>
      </c>
      <c r="BP65" s="72">
        <v>833</v>
      </c>
      <c r="BQ65" s="75" t="s">
        <v>34</v>
      </c>
      <c r="BR65" s="72">
        <f>Table13[[#This Row],[Inhaler carbon footprint per inhaler in v2.37 (gCO2e) ]]-Table13[[#This Row],[Inhaler carbon footprint per inhaler in v2.36 (gCO2e) ]]</f>
        <v>0</v>
      </c>
      <c r="BS65" s="72" t="s">
        <v>809</v>
      </c>
    </row>
    <row r="66" spans="1:71" ht="409.5" x14ac:dyDescent="0.25">
      <c r="A66" s="69" t="s">
        <v>780</v>
      </c>
      <c r="B66" s="69" t="s">
        <v>30</v>
      </c>
      <c r="C66" s="69" t="s">
        <v>334</v>
      </c>
      <c r="D66" s="69" t="s">
        <v>12</v>
      </c>
      <c r="E66" s="69" t="s">
        <v>25</v>
      </c>
      <c r="F66" s="69" t="s">
        <v>13</v>
      </c>
      <c r="G66" s="69">
        <v>120</v>
      </c>
      <c r="H66" s="70">
        <v>21.26</v>
      </c>
      <c r="I66" s="70">
        <f t="shared" si="3"/>
        <v>0.17716666666666667</v>
      </c>
      <c r="J66" s="69" t="s">
        <v>100</v>
      </c>
      <c r="K66" s="69" t="s">
        <v>101</v>
      </c>
      <c r="L66" s="69" t="s">
        <v>2</v>
      </c>
      <c r="M66" s="75" t="s">
        <v>8</v>
      </c>
      <c r="N66" s="75" t="s">
        <v>2</v>
      </c>
      <c r="O66" s="75" t="s">
        <v>700</v>
      </c>
      <c r="P66" s="75" t="s">
        <v>699</v>
      </c>
      <c r="Q66" s="75" t="s">
        <v>705</v>
      </c>
      <c r="R66" s="75" t="s">
        <v>2</v>
      </c>
      <c r="S66" s="75" t="s">
        <v>2</v>
      </c>
      <c r="T66" s="75" t="s">
        <v>2</v>
      </c>
      <c r="U66" s="75" t="s">
        <v>2</v>
      </c>
      <c r="V66" s="75" t="s">
        <v>2</v>
      </c>
      <c r="W66" s="75" t="s">
        <v>2</v>
      </c>
      <c r="X66" s="75" t="s">
        <v>2</v>
      </c>
      <c r="Y66" s="75" t="s">
        <v>720</v>
      </c>
      <c r="Z66" s="69" t="s">
        <v>8</v>
      </c>
      <c r="AA66" s="69" t="s">
        <v>725</v>
      </c>
      <c r="AB66" s="69" t="s">
        <v>725</v>
      </c>
      <c r="AC66" s="69" t="s">
        <v>947</v>
      </c>
      <c r="AD66" s="72">
        <f>Table13[[#This Row],[Carbon footprint per inhaler attributed to propellant PrescQIPP calculated as gCO2e (from PIL or as assigned in the methodology)11-13]]</f>
        <v>17160</v>
      </c>
      <c r="AE66" s="75" t="s">
        <v>530</v>
      </c>
      <c r="AF66" s="75" t="s">
        <v>46</v>
      </c>
      <c r="AG66" s="75" t="s">
        <v>46</v>
      </c>
      <c r="AH66" s="75" t="s">
        <v>46</v>
      </c>
      <c r="AI66" s="75" t="s">
        <v>46</v>
      </c>
      <c r="AJ66" s="72" t="str">
        <f>IF(Table13[[#This Row],[Indicative carbon footprint /inhaler (gCO2e) 7,8]]&gt;1796,"High","Low")</f>
        <v>High</v>
      </c>
      <c r="AK66" s="75" t="s">
        <v>46</v>
      </c>
      <c r="AL66" s="72" t="s">
        <v>46</v>
      </c>
      <c r="AM66" s="69" t="s">
        <v>417</v>
      </c>
      <c r="AN66" s="69" t="s">
        <v>177</v>
      </c>
      <c r="AO66" s="69">
        <v>12</v>
      </c>
      <c r="AP66" s="69">
        <v>1.72E-2</v>
      </c>
      <c r="AQ66" s="72">
        <f>1430*Table13[[#This Row],[Amount of propellant per inhaler (from PIL) (g)12-13]]</f>
        <v>17160</v>
      </c>
      <c r="AR66" s="74" t="s">
        <v>109</v>
      </c>
      <c r="AS66" s="69" t="s">
        <v>34</v>
      </c>
      <c r="AT66" s="69" t="s">
        <v>35</v>
      </c>
      <c r="AU66" s="69">
        <v>50</v>
      </c>
      <c r="AV66" s="69">
        <v>65</v>
      </c>
      <c r="AW66" s="69" t="s">
        <v>422</v>
      </c>
      <c r="AX66" s="69" t="s">
        <v>272</v>
      </c>
      <c r="AY66" s="69">
        <v>1926</v>
      </c>
      <c r="AZ66" s="69" t="s">
        <v>423</v>
      </c>
      <c r="BA66" s="69" t="s">
        <v>423</v>
      </c>
      <c r="BB66" s="69">
        <v>30</v>
      </c>
      <c r="BC66" s="69">
        <v>11276</v>
      </c>
      <c r="BD66" s="69">
        <v>5654</v>
      </c>
      <c r="BE66" s="69" t="s">
        <v>46</v>
      </c>
      <c r="BF66" s="69" t="s">
        <v>110</v>
      </c>
      <c r="BG66" s="69" t="s">
        <v>46</v>
      </c>
      <c r="BH66" s="69" t="s">
        <v>46</v>
      </c>
      <c r="BI66" s="69" t="s">
        <v>46</v>
      </c>
      <c r="BJ66" s="69" t="s">
        <v>46</v>
      </c>
      <c r="BK66" s="69" t="s">
        <v>46</v>
      </c>
      <c r="BL66" s="69" t="s">
        <v>46</v>
      </c>
      <c r="BM66" s="75" t="s">
        <v>843</v>
      </c>
      <c r="BN66" s="75" t="s">
        <v>878</v>
      </c>
      <c r="BO66" s="72">
        <v>19277</v>
      </c>
      <c r="BP66" s="72">
        <v>17160</v>
      </c>
      <c r="BQ66" s="75" t="s">
        <v>11</v>
      </c>
      <c r="BR66" s="72">
        <f>Table13[[#This Row],[Inhaler carbon footprint per inhaler in v2.37 (gCO2e) ]]-Table13[[#This Row],[Inhaler carbon footprint per inhaler in v2.36 (gCO2e) ]]</f>
        <v>-2117</v>
      </c>
      <c r="BS66" s="72">
        <f>Table13[[#This Row],[Inhaler carbon footprint per inhaler in v2.37 (gCO2e) ]]-Table13[[#This Row],[Inhaler carbon footprint per inhaler in v2.36 (gCO2e) ]]</f>
        <v>-2117</v>
      </c>
    </row>
    <row r="67" spans="1:71" ht="409.5" x14ac:dyDescent="0.25">
      <c r="A67" s="69" t="s">
        <v>111</v>
      </c>
      <c r="B67" s="69" t="s">
        <v>30</v>
      </c>
      <c r="C67" s="69" t="s">
        <v>335</v>
      </c>
      <c r="D67" s="69" t="s">
        <v>12</v>
      </c>
      <c r="E67" s="69" t="s">
        <v>25</v>
      </c>
      <c r="F67" s="69" t="s">
        <v>13</v>
      </c>
      <c r="G67" s="69">
        <v>120</v>
      </c>
      <c r="H67" s="70">
        <v>36.14</v>
      </c>
      <c r="I67" s="70">
        <f t="shared" si="3"/>
        <v>0.30116666666666669</v>
      </c>
      <c r="J67" s="69" t="s">
        <v>103</v>
      </c>
      <c r="K67" s="69" t="s">
        <v>104</v>
      </c>
      <c r="L67" s="69" t="s">
        <v>2</v>
      </c>
      <c r="M67" s="75" t="s">
        <v>8</v>
      </c>
      <c r="N67" s="75" t="s">
        <v>2</v>
      </c>
      <c r="O67" s="75" t="s">
        <v>2</v>
      </c>
      <c r="P67" s="75" t="s">
        <v>700</v>
      </c>
      <c r="Q67" s="75" t="s">
        <v>699</v>
      </c>
      <c r="R67" s="75" t="s">
        <v>2</v>
      </c>
      <c r="S67" s="75" t="s">
        <v>2</v>
      </c>
      <c r="T67" s="75" t="s">
        <v>2</v>
      </c>
      <c r="U67" s="75" t="s">
        <v>2</v>
      </c>
      <c r="V67" s="75" t="s">
        <v>2</v>
      </c>
      <c r="W67" s="75" t="s">
        <v>2</v>
      </c>
      <c r="X67" s="75" t="s">
        <v>2</v>
      </c>
      <c r="Y67" s="75" t="s">
        <v>720</v>
      </c>
      <c r="Z67" s="69" t="s">
        <v>8</v>
      </c>
      <c r="AA67" s="69" t="s">
        <v>725</v>
      </c>
      <c r="AB67" s="69" t="s">
        <v>725</v>
      </c>
      <c r="AC67" s="69" t="s">
        <v>947</v>
      </c>
      <c r="AD67" s="72">
        <f>Table13[[#This Row],[Carbon footprint per inhaler attributed to propellant PrescQIPP calculated as gCO2e (from PIL or as assigned in the methodology)11-13]]</f>
        <v>17160</v>
      </c>
      <c r="AE67" s="75" t="s">
        <v>530</v>
      </c>
      <c r="AF67" s="75" t="s">
        <v>46</v>
      </c>
      <c r="AG67" s="75" t="s">
        <v>46</v>
      </c>
      <c r="AH67" s="75" t="s">
        <v>46</v>
      </c>
      <c r="AI67" s="75" t="s">
        <v>46</v>
      </c>
      <c r="AJ67" s="72" t="str">
        <f>IF(Table13[[#This Row],[Indicative carbon footprint /inhaler (gCO2e) 7,8]]&gt;1796,"High","Low")</f>
        <v>High</v>
      </c>
      <c r="AK67" s="75" t="s">
        <v>46</v>
      </c>
      <c r="AL67" s="72" t="s">
        <v>46</v>
      </c>
      <c r="AM67" s="69" t="s">
        <v>416</v>
      </c>
      <c r="AN67" s="69" t="s">
        <v>177</v>
      </c>
      <c r="AO67" s="69">
        <v>12</v>
      </c>
      <c r="AP67" s="69">
        <v>1.72E-2</v>
      </c>
      <c r="AQ67" s="72">
        <f>1430*Table13[[#This Row],[Amount of propellant per inhaler (from PIL) (g)12-13]]</f>
        <v>17160</v>
      </c>
      <c r="AR67" s="74" t="s">
        <v>112</v>
      </c>
      <c r="AS67" s="69" t="s">
        <v>34</v>
      </c>
      <c r="AT67" s="69" t="s">
        <v>35</v>
      </c>
      <c r="AU67" s="69">
        <v>50</v>
      </c>
      <c r="AV67" s="69">
        <v>65</v>
      </c>
      <c r="AW67" s="69" t="s">
        <v>422</v>
      </c>
      <c r="AX67" s="69" t="s">
        <v>272</v>
      </c>
      <c r="AY67" s="69">
        <v>1926</v>
      </c>
      <c r="AZ67" s="69" t="s">
        <v>423</v>
      </c>
      <c r="BA67" s="69" t="s">
        <v>423</v>
      </c>
      <c r="BB67" s="69">
        <v>30</v>
      </c>
      <c r="BC67" s="69">
        <v>11276</v>
      </c>
      <c r="BD67" s="69">
        <v>5654</v>
      </c>
      <c r="BE67" s="69" t="s">
        <v>46</v>
      </c>
      <c r="BF67" s="69" t="s">
        <v>110</v>
      </c>
      <c r="BG67" s="69" t="s">
        <v>46</v>
      </c>
      <c r="BH67" s="69" t="s">
        <v>46</v>
      </c>
      <c r="BI67" s="69" t="s">
        <v>46</v>
      </c>
      <c r="BJ67" s="69" t="s">
        <v>46</v>
      </c>
      <c r="BK67" s="69" t="s">
        <v>46</v>
      </c>
      <c r="BL67" s="69" t="s">
        <v>46</v>
      </c>
      <c r="BM67" s="75" t="s">
        <v>843</v>
      </c>
      <c r="BN67" s="75" t="s">
        <v>878</v>
      </c>
      <c r="BO67" s="72">
        <v>19277</v>
      </c>
      <c r="BP67" s="72">
        <v>17160</v>
      </c>
      <c r="BQ67" s="75" t="s">
        <v>11</v>
      </c>
      <c r="BR67" s="72">
        <f>Table13[[#This Row],[Inhaler carbon footprint per inhaler in v2.37 (gCO2e) ]]-Table13[[#This Row],[Inhaler carbon footprint per inhaler in v2.36 (gCO2e) ]]</f>
        <v>-2117</v>
      </c>
      <c r="BS67" s="72">
        <f>Table13[[#This Row],[Inhaler carbon footprint per inhaler in v2.37 (gCO2e) ]]-Table13[[#This Row],[Inhaler carbon footprint per inhaler in v2.36 (gCO2e) ]]</f>
        <v>-2117</v>
      </c>
    </row>
    <row r="68" spans="1:71" ht="409.5" x14ac:dyDescent="0.25">
      <c r="A68" s="69" t="s">
        <v>113</v>
      </c>
      <c r="B68" s="69" t="s">
        <v>30</v>
      </c>
      <c r="C68" s="69" t="s">
        <v>336</v>
      </c>
      <c r="D68" s="69" t="s">
        <v>12</v>
      </c>
      <c r="E68" s="69" t="s">
        <v>25</v>
      </c>
      <c r="F68" s="69" t="s">
        <v>13</v>
      </c>
      <c r="G68" s="69">
        <v>120</v>
      </c>
      <c r="H68" s="70">
        <v>6.53</v>
      </c>
      <c r="I68" s="70">
        <f t="shared" si="3"/>
        <v>5.4416666666666669E-2</v>
      </c>
      <c r="J68" s="69" t="s">
        <v>100</v>
      </c>
      <c r="K68" s="69" t="s">
        <v>101</v>
      </c>
      <c r="L68" s="69" t="s">
        <v>2</v>
      </c>
      <c r="M68" s="75" t="s">
        <v>8</v>
      </c>
      <c r="N68" s="75" t="s">
        <v>2</v>
      </c>
      <c r="O68" s="75" t="s">
        <v>701</v>
      </c>
      <c r="P68" s="75" t="s">
        <v>702</v>
      </c>
      <c r="Q68" s="75" t="s">
        <v>2</v>
      </c>
      <c r="R68" s="75" t="s">
        <v>2</v>
      </c>
      <c r="S68" s="75" t="s">
        <v>2</v>
      </c>
      <c r="T68" s="75" t="s">
        <v>2</v>
      </c>
      <c r="U68" s="75" t="s">
        <v>2</v>
      </c>
      <c r="V68" s="75" t="s">
        <v>2</v>
      </c>
      <c r="W68" s="75" t="s">
        <v>2</v>
      </c>
      <c r="X68" s="75" t="s">
        <v>2</v>
      </c>
      <c r="Y68" s="75" t="s">
        <v>720</v>
      </c>
      <c r="Z68" s="69" t="s">
        <v>8</v>
      </c>
      <c r="AA68" s="69" t="s">
        <v>725</v>
      </c>
      <c r="AB68" s="69" t="s">
        <v>725</v>
      </c>
      <c r="AC68" s="69" t="s">
        <v>947</v>
      </c>
      <c r="AD68" s="72">
        <f>Table13[[#This Row],[Carbon footprint per inhaler attributed to propellant PrescQIPP calculated as gCO2e (from PIL or as assigned in the methodology)11-13]]</f>
        <v>15158</v>
      </c>
      <c r="AE68" s="75" t="s">
        <v>530</v>
      </c>
      <c r="AF68" s="75" t="s">
        <v>46</v>
      </c>
      <c r="AG68" s="75" t="s">
        <v>46</v>
      </c>
      <c r="AH68" s="75" t="s">
        <v>46</v>
      </c>
      <c r="AI68" s="75" t="s">
        <v>46</v>
      </c>
      <c r="AJ68" s="72" t="str">
        <f>IF(Table13[[#This Row],[Indicative carbon footprint /inhaler (gCO2e) 7,8]]&gt;1796,"High","Low")</f>
        <v>High</v>
      </c>
      <c r="AK68" s="75" t="s">
        <v>46</v>
      </c>
      <c r="AL68" s="72" t="s">
        <v>46</v>
      </c>
      <c r="AM68" s="69" t="s">
        <v>416</v>
      </c>
      <c r="AN68" s="69" t="s">
        <v>177</v>
      </c>
      <c r="AO68" s="69">
        <v>10.6</v>
      </c>
      <c r="AP68" s="69">
        <v>1.52E-2</v>
      </c>
      <c r="AQ68" s="72">
        <f>1430*Table13[[#This Row],[Amount of propellant per inhaler (from PIL) (g)12-13]]</f>
        <v>15158</v>
      </c>
      <c r="AR68" s="74" t="s">
        <v>114</v>
      </c>
      <c r="AS68" s="69" t="s">
        <v>34</v>
      </c>
      <c r="AT68" s="69" t="s">
        <v>35</v>
      </c>
      <c r="AU68" s="69">
        <v>50</v>
      </c>
      <c r="AV68" s="69">
        <v>65</v>
      </c>
      <c r="AW68" s="69" t="s">
        <v>422</v>
      </c>
      <c r="AX68" s="69" t="s">
        <v>272</v>
      </c>
      <c r="AY68" s="69">
        <v>1926</v>
      </c>
      <c r="AZ68" s="69" t="s">
        <v>423</v>
      </c>
      <c r="BA68" s="69" t="s">
        <v>423</v>
      </c>
      <c r="BB68" s="69">
        <v>30</v>
      </c>
      <c r="BC68" s="69">
        <v>11276</v>
      </c>
      <c r="BD68" s="69">
        <v>5654</v>
      </c>
      <c r="BE68" s="69" t="s">
        <v>46</v>
      </c>
      <c r="BF68" s="69" t="s">
        <v>110</v>
      </c>
      <c r="BG68" s="69" t="s">
        <v>46</v>
      </c>
      <c r="BH68" s="69" t="s">
        <v>46</v>
      </c>
      <c r="BI68" s="69" t="s">
        <v>46</v>
      </c>
      <c r="BJ68" s="69" t="s">
        <v>46</v>
      </c>
      <c r="BK68" s="69" t="s">
        <v>46</v>
      </c>
      <c r="BL68" s="69" t="s">
        <v>46</v>
      </c>
      <c r="BM68" s="75" t="s">
        <v>843</v>
      </c>
      <c r="BN68" s="75" t="s">
        <v>878</v>
      </c>
      <c r="BO68" s="72">
        <v>19277</v>
      </c>
      <c r="BP68" s="72">
        <v>15158</v>
      </c>
      <c r="BQ68" s="75" t="s">
        <v>11</v>
      </c>
      <c r="BR68" s="72">
        <f>Table13[[#This Row],[Inhaler carbon footprint per inhaler in v2.37 (gCO2e) ]]-Table13[[#This Row],[Inhaler carbon footprint per inhaler in v2.36 (gCO2e) ]]</f>
        <v>-4119</v>
      </c>
      <c r="BS68" s="72">
        <f>Table13[[#This Row],[Inhaler carbon footprint per inhaler in v2.37 (gCO2e) ]]-Table13[[#This Row],[Inhaler carbon footprint per inhaler in v2.36 (gCO2e) ]]</f>
        <v>-4119</v>
      </c>
    </row>
    <row r="69" spans="1:71" ht="330" x14ac:dyDescent="0.25">
      <c r="A69" s="69" t="s">
        <v>337</v>
      </c>
      <c r="B69" s="69" t="s">
        <v>115</v>
      </c>
      <c r="C69" s="69" t="s">
        <v>777</v>
      </c>
      <c r="D69" s="69" t="s">
        <v>12</v>
      </c>
      <c r="E69" s="69" t="s">
        <v>6</v>
      </c>
      <c r="F69" s="69" t="s">
        <v>13</v>
      </c>
      <c r="G69" s="69">
        <v>120</v>
      </c>
      <c r="H69" s="70">
        <v>28</v>
      </c>
      <c r="I69" s="70">
        <f t="shared" si="3"/>
        <v>0.23333333333333334</v>
      </c>
      <c r="J69" s="69" t="s">
        <v>26</v>
      </c>
      <c r="K69" s="69" t="s">
        <v>116</v>
      </c>
      <c r="L69" s="69" t="s">
        <v>8</v>
      </c>
      <c r="M69" s="69" t="s">
        <v>8</v>
      </c>
      <c r="N69" s="69" t="s">
        <v>2</v>
      </c>
      <c r="O69" s="69" t="s">
        <v>2</v>
      </c>
      <c r="P69" s="69" t="s">
        <v>2</v>
      </c>
      <c r="Q69" s="75" t="s">
        <v>2</v>
      </c>
      <c r="R69" s="69" t="s">
        <v>2</v>
      </c>
      <c r="S69" s="69" t="s">
        <v>699</v>
      </c>
      <c r="T69" s="69" t="s">
        <v>2</v>
      </c>
      <c r="U69" s="75" t="s">
        <v>2</v>
      </c>
      <c r="V69" s="75" t="s">
        <v>2</v>
      </c>
      <c r="W69" s="75" t="s">
        <v>2</v>
      </c>
      <c r="X69" s="75" t="s">
        <v>2</v>
      </c>
      <c r="Y69" s="75" t="s">
        <v>720</v>
      </c>
      <c r="Z69" s="69" t="s">
        <v>79</v>
      </c>
      <c r="AA69" s="69" t="s">
        <v>714</v>
      </c>
      <c r="AB69" s="69" t="s">
        <v>836</v>
      </c>
      <c r="AC69" s="69" t="s">
        <v>835</v>
      </c>
      <c r="AD69" s="72">
        <f>Table13[[#This Row],[Carbon footprint per inhaler attributed to propellant PrescQIPP calculated as gCO2e (from PIL or as assigned in the methodology)11-13]]</f>
        <v>36064</v>
      </c>
      <c r="AE69" s="75" t="s">
        <v>530</v>
      </c>
      <c r="AF69" s="75" t="s">
        <v>11</v>
      </c>
      <c r="AG69" s="75" t="s">
        <v>46</v>
      </c>
      <c r="AH69" s="75" t="s">
        <v>46</v>
      </c>
      <c r="AI69" s="75" t="s">
        <v>46</v>
      </c>
      <c r="AJ69" s="72" t="str">
        <f>IF(Table13[[#This Row],[Indicative carbon footprint /inhaler (gCO2e) 7,8]]&gt;1796,"High","Low")</f>
        <v>High</v>
      </c>
      <c r="AK69" s="72" t="s">
        <v>34</v>
      </c>
      <c r="AL69" s="72" t="s">
        <v>46</v>
      </c>
      <c r="AM69" s="69"/>
      <c r="AN69" s="69" t="s">
        <v>266</v>
      </c>
      <c r="AO69" s="69">
        <v>11.2</v>
      </c>
      <c r="AP69" s="69">
        <v>3.5999999999999997E-2</v>
      </c>
      <c r="AQ69" s="103">
        <v>36064</v>
      </c>
      <c r="AR69" s="74" t="s">
        <v>117</v>
      </c>
      <c r="AS69" s="101" t="s">
        <v>34</v>
      </c>
      <c r="AT69" s="69" t="s">
        <v>419</v>
      </c>
      <c r="AU69" s="69" t="s">
        <v>118</v>
      </c>
      <c r="AV69" s="69" t="s">
        <v>118</v>
      </c>
      <c r="AW69" s="69" t="s">
        <v>118</v>
      </c>
      <c r="AX69" s="69" t="s">
        <v>119</v>
      </c>
      <c r="AY69" s="69" t="s">
        <v>119</v>
      </c>
      <c r="AZ69" s="104" t="s">
        <v>120</v>
      </c>
      <c r="BA69" s="82" t="s">
        <v>121</v>
      </c>
      <c r="BB69" s="82" t="s">
        <v>121</v>
      </c>
      <c r="BC69" s="82" t="s">
        <v>122</v>
      </c>
      <c r="BD69" s="69" t="s">
        <v>119</v>
      </c>
      <c r="BE69" s="69" t="s">
        <v>119</v>
      </c>
      <c r="BF69" s="69" t="s">
        <v>837</v>
      </c>
      <c r="BG69" s="69" t="s">
        <v>123</v>
      </c>
      <c r="BH69" s="69" t="s">
        <v>792</v>
      </c>
      <c r="BI69" s="69" t="s">
        <v>11</v>
      </c>
      <c r="BJ69" s="69" t="s">
        <v>838</v>
      </c>
      <c r="BK69" s="69" t="s">
        <v>2</v>
      </c>
      <c r="BL69" s="69" t="s">
        <v>839</v>
      </c>
      <c r="BM69" s="75" t="s">
        <v>11</v>
      </c>
      <c r="BN69" s="75" t="s">
        <v>878</v>
      </c>
      <c r="BO69" s="72">
        <v>36500</v>
      </c>
      <c r="BP69" s="72">
        <v>36064</v>
      </c>
      <c r="BQ69" s="75" t="s">
        <v>11</v>
      </c>
      <c r="BR69" s="72">
        <f>Table13[[#This Row],[Inhaler carbon footprint per inhaler in v2.37 (gCO2e) ]]-Table13[[#This Row],[Inhaler carbon footprint per inhaler in v2.36 (gCO2e) ]]</f>
        <v>-436</v>
      </c>
      <c r="BS69" s="72">
        <f>Table13[[#This Row],[Inhaler carbon footprint per inhaler in v2.37 (gCO2e) ]]-Table13[[#This Row],[Inhaler carbon footprint per inhaler in v2.36 (gCO2e) ]]</f>
        <v>-436</v>
      </c>
    </row>
    <row r="70" spans="1:71" ht="330" x14ac:dyDescent="0.25">
      <c r="A70" s="69" t="s">
        <v>395</v>
      </c>
      <c r="B70" s="69" t="s">
        <v>115</v>
      </c>
      <c r="C70" s="69" t="s">
        <v>765</v>
      </c>
      <c r="D70" s="69" t="s">
        <v>12</v>
      </c>
      <c r="E70" s="69" t="s">
        <v>6</v>
      </c>
      <c r="F70" s="69" t="s">
        <v>13</v>
      </c>
      <c r="G70" s="69">
        <v>120</v>
      </c>
      <c r="H70" s="70">
        <v>45.56</v>
      </c>
      <c r="I70" s="70">
        <f t="shared" si="3"/>
        <v>0.37966666666666671</v>
      </c>
      <c r="J70" s="69" t="s">
        <v>7</v>
      </c>
      <c r="K70" s="69" t="s">
        <v>7</v>
      </c>
      <c r="L70" s="69" t="s">
        <v>8</v>
      </c>
      <c r="M70" s="69" t="s">
        <v>8</v>
      </c>
      <c r="N70" s="69" t="s">
        <v>2</v>
      </c>
      <c r="O70" s="69" t="s">
        <v>2</v>
      </c>
      <c r="P70" s="69" t="s">
        <v>2</v>
      </c>
      <c r="Q70" s="75" t="s">
        <v>2</v>
      </c>
      <c r="R70" s="69" t="s">
        <v>2</v>
      </c>
      <c r="S70" s="69" t="s">
        <v>2</v>
      </c>
      <c r="T70" s="69" t="s">
        <v>699</v>
      </c>
      <c r="U70" s="75" t="s">
        <v>2</v>
      </c>
      <c r="V70" s="75" t="s">
        <v>2</v>
      </c>
      <c r="W70" s="75" t="s">
        <v>2</v>
      </c>
      <c r="X70" s="75" t="s">
        <v>2</v>
      </c>
      <c r="Y70" s="75" t="s">
        <v>720</v>
      </c>
      <c r="Z70" s="69" t="s">
        <v>79</v>
      </c>
      <c r="AA70" s="69" t="s">
        <v>714</v>
      </c>
      <c r="AB70" s="69" t="s">
        <v>836</v>
      </c>
      <c r="AC70" s="69" t="s">
        <v>835</v>
      </c>
      <c r="AD70" s="72">
        <f>Table13[[#This Row],[Carbon footprint per inhaler attributed to propellant PrescQIPP calculated as gCO2e (from PIL or as assigned in the methodology)11-13]]</f>
        <v>36064</v>
      </c>
      <c r="AE70" s="75" t="s">
        <v>530</v>
      </c>
      <c r="AF70" s="75" t="s">
        <v>11</v>
      </c>
      <c r="AG70" s="75" t="s">
        <v>46</v>
      </c>
      <c r="AH70" s="75" t="s">
        <v>46</v>
      </c>
      <c r="AI70" s="75" t="s">
        <v>46</v>
      </c>
      <c r="AJ70" s="72" t="str">
        <f>IF(Table13[[#This Row],[Indicative carbon footprint /inhaler (gCO2e) 7,8]]&gt;1796,"High","Low")</f>
        <v>High</v>
      </c>
      <c r="AK70" s="72" t="s">
        <v>34</v>
      </c>
      <c r="AL70" s="72" t="s">
        <v>46</v>
      </c>
      <c r="AM70" s="69"/>
      <c r="AN70" s="69" t="s">
        <v>266</v>
      </c>
      <c r="AO70" s="69">
        <v>11.2</v>
      </c>
      <c r="AP70" s="69">
        <v>3.5999999999999997E-2</v>
      </c>
      <c r="AQ70" s="103">
        <v>36064</v>
      </c>
      <c r="AR70" s="74" t="s">
        <v>124</v>
      </c>
      <c r="AS70" s="101" t="s">
        <v>34</v>
      </c>
      <c r="AT70" s="69" t="s">
        <v>419</v>
      </c>
      <c r="AU70" s="69" t="s">
        <v>118</v>
      </c>
      <c r="AV70" s="69" t="s">
        <v>118</v>
      </c>
      <c r="AW70" s="69" t="s">
        <v>118</v>
      </c>
      <c r="AX70" s="69" t="s">
        <v>119</v>
      </c>
      <c r="AY70" s="69" t="s">
        <v>119</v>
      </c>
      <c r="AZ70" s="104" t="s">
        <v>120</v>
      </c>
      <c r="BA70" s="82" t="s">
        <v>121</v>
      </c>
      <c r="BB70" s="82" t="s">
        <v>121</v>
      </c>
      <c r="BC70" s="82" t="s">
        <v>122</v>
      </c>
      <c r="BD70" s="69" t="s">
        <v>119</v>
      </c>
      <c r="BE70" s="69" t="s">
        <v>119</v>
      </c>
      <c r="BF70" s="69" t="s">
        <v>837</v>
      </c>
      <c r="BG70" s="69" t="s">
        <v>123</v>
      </c>
      <c r="BH70" s="69" t="s">
        <v>792</v>
      </c>
      <c r="BI70" s="69" t="s">
        <v>11</v>
      </c>
      <c r="BJ70" s="69" t="s">
        <v>838</v>
      </c>
      <c r="BK70" s="69" t="s">
        <v>2</v>
      </c>
      <c r="BL70" s="69" t="s">
        <v>839</v>
      </c>
      <c r="BM70" s="75" t="s">
        <v>11</v>
      </c>
      <c r="BN70" s="75" t="s">
        <v>878</v>
      </c>
      <c r="BO70" s="72">
        <v>36500</v>
      </c>
      <c r="BP70" s="72">
        <v>36064</v>
      </c>
      <c r="BQ70" s="75" t="s">
        <v>11</v>
      </c>
      <c r="BR70" s="72">
        <f>Table13[[#This Row],[Inhaler carbon footprint per inhaler in v2.37 (gCO2e) ]]-Table13[[#This Row],[Inhaler carbon footprint per inhaler in v2.36 (gCO2e) ]]</f>
        <v>-436</v>
      </c>
      <c r="BS70" s="72">
        <f>Table13[[#This Row],[Inhaler carbon footprint per inhaler in v2.37 (gCO2e) ]]-Table13[[#This Row],[Inhaler carbon footprint per inhaler in v2.36 (gCO2e) ]]</f>
        <v>-436</v>
      </c>
    </row>
    <row r="71" spans="1:71" ht="330" x14ac:dyDescent="0.25">
      <c r="A71" s="69" t="s">
        <v>338</v>
      </c>
      <c r="B71" s="69" t="s">
        <v>115</v>
      </c>
      <c r="C71" s="69" t="s">
        <v>766</v>
      </c>
      <c r="D71" s="69" t="s">
        <v>12</v>
      </c>
      <c r="E71" s="69" t="s">
        <v>6</v>
      </c>
      <c r="F71" s="69" t="s">
        <v>13</v>
      </c>
      <c r="G71" s="69">
        <v>120</v>
      </c>
      <c r="H71" s="70">
        <v>14.4</v>
      </c>
      <c r="I71" s="70">
        <f t="shared" si="3"/>
        <v>0.12000000000000001</v>
      </c>
      <c r="J71" s="69" t="s">
        <v>100</v>
      </c>
      <c r="K71" s="69" t="s">
        <v>125</v>
      </c>
      <c r="L71" s="69" t="s">
        <v>8</v>
      </c>
      <c r="M71" s="69" t="s">
        <v>8</v>
      </c>
      <c r="N71" s="69" t="s">
        <v>2</v>
      </c>
      <c r="O71" s="69" t="s">
        <v>2</v>
      </c>
      <c r="P71" s="69" t="s">
        <v>2</v>
      </c>
      <c r="Q71" s="75" t="s">
        <v>2</v>
      </c>
      <c r="R71" s="69" t="s">
        <v>699</v>
      </c>
      <c r="S71" s="69" t="s">
        <v>2</v>
      </c>
      <c r="T71" s="69" t="s">
        <v>2</v>
      </c>
      <c r="U71" s="75" t="s">
        <v>2</v>
      </c>
      <c r="V71" s="75" t="s">
        <v>2</v>
      </c>
      <c r="W71" s="75" t="s">
        <v>2</v>
      </c>
      <c r="X71" s="75" t="s">
        <v>2</v>
      </c>
      <c r="Y71" s="75" t="s">
        <v>720</v>
      </c>
      <c r="Z71" s="69" t="s">
        <v>79</v>
      </c>
      <c r="AA71" s="69" t="s">
        <v>714</v>
      </c>
      <c r="AB71" s="69" t="s">
        <v>836</v>
      </c>
      <c r="AC71" s="69" t="s">
        <v>835</v>
      </c>
      <c r="AD71" s="72">
        <f>Table13[[#This Row],[Carbon footprint per inhaler attributed to propellant PrescQIPP calculated as gCO2e (from PIL or as assigned in the methodology)11-13]]</f>
        <v>36064</v>
      </c>
      <c r="AE71" s="75" t="s">
        <v>530</v>
      </c>
      <c r="AF71" s="75" t="s">
        <v>11</v>
      </c>
      <c r="AG71" s="75" t="s">
        <v>46</v>
      </c>
      <c r="AH71" s="75" t="s">
        <v>46</v>
      </c>
      <c r="AI71" s="75" t="s">
        <v>46</v>
      </c>
      <c r="AJ71" s="72" t="str">
        <f>IF(Table13[[#This Row],[Indicative carbon footprint /inhaler (gCO2e) 7,8]]&gt;1796,"High","Low")</f>
        <v>High</v>
      </c>
      <c r="AK71" s="72" t="s">
        <v>34</v>
      </c>
      <c r="AL71" s="72" t="s">
        <v>46</v>
      </c>
      <c r="AM71" s="69"/>
      <c r="AN71" s="69" t="s">
        <v>266</v>
      </c>
      <c r="AO71" s="69">
        <v>11.2</v>
      </c>
      <c r="AP71" s="69">
        <v>3.5999999999999997E-2</v>
      </c>
      <c r="AQ71" s="103">
        <v>36064</v>
      </c>
      <c r="AR71" s="74" t="s">
        <v>126</v>
      </c>
      <c r="AS71" s="101" t="s">
        <v>34</v>
      </c>
      <c r="AT71" s="69" t="s">
        <v>419</v>
      </c>
      <c r="AU71" s="69" t="s">
        <v>118</v>
      </c>
      <c r="AV71" s="69" t="s">
        <v>118</v>
      </c>
      <c r="AW71" s="69" t="s">
        <v>118</v>
      </c>
      <c r="AX71" s="69" t="s">
        <v>119</v>
      </c>
      <c r="AY71" s="69" t="s">
        <v>119</v>
      </c>
      <c r="AZ71" s="104" t="s">
        <v>120</v>
      </c>
      <c r="BA71" s="82" t="s">
        <v>121</v>
      </c>
      <c r="BB71" s="82" t="s">
        <v>121</v>
      </c>
      <c r="BC71" s="82" t="s">
        <v>122</v>
      </c>
      <c r="BD71" s="69" t="s">
        <v>119</v>
      </c>
      <c r="BE71" s="69" t="s">
        <v>119</v>
      </c>
      <c r="BF71" s="69" t="s">
        <v>837</v>
      </c>
      <c r="BG71" s="69" t="s">
        <v>123</v>
      </c>
      <c r="BH71" s="69" t="s">
        <v>792</v>
      </c>
      <c r="BI71" s="69" t="s">
        <v>11</v>
      </c>
      <c r="BJ71" s="69" t="s">
        <v>838</v>
      </c>
      <c r="BK71" s="69" t="s">
        <v>2</v>
      </c>
      <c r="BL71" s="69" t="s">
        <v>839</v>
      </c>
      <c r="BM71" s="75" t="s">
        <v>11</v>
      </c>
      <c r="BN71" s="75" t="s">
        <v>878</v>
      </c>
      <c r="BO71" s="72">
        <v>36500</v>
      </c>
      <c r="BP71" s="72">
        <v>36064</v>
      </c>
      <c r="BQ71" s="75" t="s">
        <v>11</v>
      </c>
      <c r="BR71" s="72">
        <f>Table13[[#This Row],[Inhaler carbon footprint per inhaler in v2.37 (gCO2e) ]]-Table13[[#This Row],[Inhaler carbon footprint per inhaler in v2.36 (gCO2e) ]]</f>
        <v>-436</v>
      </c>
      <c r="BS71" s="72">
        <f>Table13[[#This Row],[Inhaler carbon footprint per inhaler in v2.37 (gCO2e) ]]-Table13[[#This Row],[Inhaler carbon footprint per inhaler in v2.36 (gCO2e) ]]</f>
        <v>-436</v>
      </c>
    </row>
    <row r="72" spans="1:71" ht="225" x14ac:dyDescent="0.25">
      <c r="A72" s="69" t="s">
        <v>339</v>
      </c>
      <c r="B72" s="69" t="s">
        <v>82</v>
      </c>
      <c r="C72" s="69" t="s">
        <v>767</v>
      </c>
      <c r="D72" s="69" t="s">
        <v>5</v>
      </c>
      <c r="E72" s="69" t="s">
        <v>6</v>
      </c>
      <c r="F72" s="69" t="s">
        <v>3</v>
      </c>
      <c r="G72" s="69">
        <v>120</v>
      </c>
      <c r="H72" s="70">
        <v>21.5</v>
      </c>
      <c r="I72" s="70">
        <f t="shared" si="3"/>
        <v>0.17916666666666667</v>
      </c>
      <c r="J72" s="69" t="s">
        <v>498</v>
      </c>
      <c r="K72" s="69" t="s">
        <v>498</v>
      </c>
      <c r="L72" s="69" t="s">
        <v>79</v>
      </c>
      <c r="M72" s="69" t="s">
        <v>79</v>
      </c>
      <c r="N72" s="69" t="s">
        <v>744</v>
      </c>
      <c r="O72" s="69" t="s">
        <v>2</v>
      </c>
      <c r="P72" s="69" t="s">
        <v>2</v>
      </c>
      <c r="Q72" s="75" t="s">
        <v>2</v>
      </c>
      <c r="R72" s="69" t="s">
        <v>700</v>
      </c>
      <c r="S72" s="69" t="s">
        <v>699</v>
      </c>
      <c r="T72" s="69" t="s">
        <v>2</v>
      </c>
      <c r="U72" s="95" t="s">
        <v>1119</v>
      </c>
      <c r="V72" s="69" t="s">
        <v>698</v>
      </c>
      <c r="W72" s="70">
        <v>15.05</v>
      </c>
      <c r="X72" s="70">
        <v>25.083333333333336</v>
      </c>
      <c r="Y72" s="75" t="s">
        <v>718</v>
      </c>
      <c r="Z72" s="69" t="s">
        <v>79</v>
      </c>
      <c r="AA72" s="69" t="s">
        <v>846</v>
      </c>
      <c r="AB72" s="69" t="s">
        <v>865</v>
      </c>
      <c r="AC72" s="69" t="s">
        <v>868</v>
      </c>
      <c r="AD72" s="72">
        <v>403.48</v>
      </c>
      <c r="AE72" s="75" t="s">
        <v>9</v>
      </c>
      <c r="AF72" s="75" t="s">
        <v>34</v>
      </c>
      <c r="AG72" s="75" t="s">
        <v>809</v>
      </c>
      <c r="AH72" s="75" t="s">
        <v>34</v>
      </c>
      <c r="AI72" s="75" t="s">
        <v>809</v>
      </c>
      <c r="AJ72" s="72" t="str">
        <f>IF(Table13[[#This Row],[Indicative carbon footprint /inhaler (gCO2e) 7,8]]&gt;1796,"High","Low")</f>
        <v>Low</v>
      </c>
      <c r="AK72" s="72" t="s">
        <v>587</v>
      </c>
      <c r="AL72" s="100" t="s">
        <v>851</v>
      </c>
      <c r="AM72" s="99" t="s">
        <v>852</v>
      </c>
      <c r="AN72" s="69" t="s">
        <v>2</v>
      </c>
      <c r="AO72" s="69" t="s">
        <v>2</v>
      </c>
      <c r="AP72" s="69" t="s">
        <v>2</v>
      </c>
      <c r="AQ72" s="69" t="s">
        <v>2</v>
      </c>
      <c r="AR72" s="74" t="s">
        <v>129</v>
      </c>
      <c r="AS72" s="101" t="s">
        <v>34</v>
      </c>
      <c r="AT72" s="69" t="s">
        <v>857</v>
      </c>
      <c r="AU72" s="82">
        <v>287.62</v>
      </c>
      <c r="AV72" s="82">
        <v>158.66</v>
      </c>
      <c r="AW72" s="69" t="s">
        <v>46</v>
      </c>
      <c r="AX72" s="82">
        <v>10.62</v>
      </c>
      <c r="AY72" s="69" t="s">
        <v>46</v>
      </c>
      <c r="AZ72" s="69" t="s">
        <v>46</v>
      </c>
      <c r="BA72" s="82" t="s">
        <v>46</v>
      </c>
      <c r="BB72" s="82">
        <v>7.81</v>
      </c>
      <c r="BC72" s="82">
        <v>0</v>
      </c>
      <c r="BD72" s="82">
        <v>55.31</v>
      </c>
      <c r="BE72" s="69" t="s">
        <v>46</v>
      </c>
      <c r="BF72" s="69" t="s">
        <v>2</v>
      </c>
      <c r="BG72" s="69" t="s">
        <v>2</v>
      </c>
      <c r="BH72" s="69" t="s">
        <v>2</v>
      </c>
      <c r="BI72" s="69" t="s">
        <v>2</v>
      </c>
      <c r="BJ72" s="69" t="s">
        <v>2</v>
      </c>
      <c r="BK72" s="69" t="s">
        <v>2</v>
      </c>
      <c r="BL72" s="69" t="s">
        <v>853</v>
      </c>
      <c r="BM72" s="75" t="s">
        <v>11</v>
      </c>
      <c r="BN72" s="75" t="s">
        <v>2</v>
      </c>
      <c r="BO72" s="72">
        <v>484.47</v>
      </c>
      <c r="BP72" s="72">
        <v>403.48</v>
      </c>
      <c r="BQ72" s="75" t="s">
        <v>11</v>
      </c>
      <c r="BR72" s="72">
        <f>Table13[[#This Row],[Inhaler carbon footprint per inhaler in v2.37 (gCO2e) ]]-Table13[[#This Row],[Inhaler carbon footprint per inhaler in v2.36 (gCO2e) ]]</f>
        <v>-80.990000000000009</v>
      </c>
      <c r="BS72" s="72">
        <f>Table13[[#This Row],[Inhaler carbon footprint per inhaler in v2.37 (gCO2e) ]]-Table13[[#This Row],[Inhaler carbon footprint per inhaler in v2.36 (gCO2e) ]]</f>
        <v>-80.990000000000009</v>
      </c>
    </row>
    <row r="73" spans="1:71" ht="225" x14ac:dyDescent="0.25">
      <c r="A73" s="69" t="s">
        <v>339</v>
      </c>
      <c r="B73" s="69" t="s">
        <v>82</v>
      </c>
      <c r="C73" s="69" t="s">
        <v>767</v>
      </c>
      <c r="D73" s="69" t="s">
        <v>5</v>
      </c>
      <c r="E73" s="69" t="s">
        <v>6</v>
      </c>
      <c r="F73" s="69" t="s">
        <v>3</v>
      </c>
      <c r="G73" s="69">
        <v>60</v>
      </c>
      <c r="H73" s="70">
        <v>10.75</v>
      </c>
      <c r="I73" s="70">
        <f t="shared" si="3"/>
        <v>0.17916666666666667</v>
      </c>
      <c r="J73" s="69" t="s">
        <v>498</v>
      </c>
      <c r="K73" s="69" t="s">
        <v>498</v>
      </c>
      <c r="L73" s="69" t="s">
        <v>79</v>
      </c>
      <c r="M73" s="69" t="s">
        <v>79</v>
      </c>
      <c r="N73" s="69" t="s">
        <v>744</v>
      </c>
      <c r="O73" s="69" t="s">
        <v>2</v>
      </c>
      <c r="P73" s="69" t="s">
        <v>2</v>
      </c>
      <c r="Q73" s="75" t="s">
        <v>2</v>
      </c>
      <c r="R73" s="69" t="s">
        <v>700</v>
      </c>
      <c r="S73" s="69" t="s">
        <v>699</v>
      </c>
      <c r="T73" s="69" t="s">
        <v>2</v>
      </c>
      <c r="U73" s="95" t="s">
        <v>1119</v>
      </c>
      <c r="V73" s="69" t="s">
        <v>698</v>
      </c>
      <c r="W73" s="70">
        <v>15.05</v>
      </c>
      <c r="X73" s="70">
        <v>25.083333333333336</v>
      </c>
      <c r="Y73" s="75" t="s">
        <v>718</v>
      </c>
      <c r="Z73" s="69" t="s">
        <v>79</v>
      </c>
      <c r="AA73" s="69" t="s">
        <v>845</v>
      </c>
      <c r="AB73" s="69" t="s">
        <v>865</v>
      </c>
      <c r="AC73" s="69" t="s">
        <v>868</v>
      </c>
      <c r="AD73" s="72">
        <v>403.48</v>
      </c>
      <c r="AE73" s="75" t="s">
        <v>9</v>
      </c>
      <c r="AF73" s="75" t="s">
        <v>34</v>
      </c>
      <c r="AG73" s="75" t="s">
        <v>809</v>
      </c>
      <c r="AH73" s="75" t="s">
        <v>34</v>
      </c>
      <c r="AI73" s="75" t="s">
        <v>809</v>
      </c>
      <c r="AJ73" s="72" t="str">
        <f>IF(Table13[[#This Row],[Indicative carbon footprint /inhaler (gCO2e) 7,8]]&gt;1796,"High","Low")</f>
        <v>Low</v>
      </c>
      <c r="AK73" s="72" t="s">
        <v>587</v>
      </c>
      <c r="AL73" s="100" t="s">
        <v>851</v>
      </c>
      <c r="AM73" s="99" t="s">
        <v>852</v>
      </c>
      <c r="AN73" s="69" t="s">
        <v>2</v>
      </c>
      <c r="AO73" s="69" t="s">
        <v>2</v>
      </c>
      <c r="AP73" s="69" t="s">
        <v>2</v>
      </c>
      <c r="AQ73" s="69" t="s">
        <v>2</v>
      </c>
      <c r="AR73" s="74" t="s">
        <v>128</v>
      </c>
      <c r="AS73" s="101" t="s">
        <v>34</v>
      </c>
      <c r="AT73" s="69" t="s">
        <v>857</v>
      </c>
      <c r="AU73" s="82">
        <v>287.62</v>
      </c>
      <c r="AV73" s="82">
        <v>158.66</v>
      </c>
      <c r="AW73" s="69" t="s">
        <v>46</v>
      </c>
      <c r="AX73" s="82">
        <v>10.62</v>
      </c>
      <c r="AY73" s="69" t="s">
        <v>46</v>
      </c>
      <c r="AZ73" s="69" t="s">
        <v>46</v>
      </c>
      <c r="BA73" s="82" t="s">
        <v>46</v>
      </c>
      <c r="BB73" s="82">
        <v>7.81</v>
      </c>
      <c r="BC73" s="82">
        <v>0</v>
      </c>
      <c r="BD73" s="82">
        <v>55.31</v>
      </c>
      <c r="BE73" s="69" t="s">
        <v>46</v>
      </c>
      <c r="BF73" s="69" t="s">
        <v>2</v>
      </c>
      <c r="BG73" s="69" t="s">
        <v>2</v>
      </c>
      <c r="BH73" s="69" t="s">
        <v>2</v>
      </c>
      <c r="BI73" s="69" t="s">
        <v>2</v>
      </c>
      <c r="BJ73" s="69" t="s">
        <v>2</v>
      </c>
      <c r="BK73" s="69" t="s">
        <v>2</v>
      </c>
      <c r="BL73" s="69" t="s">
        <v>853</v>
      </c>
      <c r="BM73" s="75" t="s">
        <v>11</v>
      </c>
      <c r="BN73" s="75" t="s">
        <v>2</v>
      </c>
      <c r="BO73" s="72">
        <v>484.47</v>
      </c>
      <c r="BP73" s="72">
        <v>403.48</v>
      </c>
      <c r="BQ73" s="75" t="s">
        <v>11</v>
      </c>
      <c r="BR73" s="72">
        <f>Table13[[#This Row],[Inhaler carbon footprint per inhaler in v2.37 (gCO2e) ]]-Table13[[#This Row],[Inhaler carbon footprint per inhaler in v2.36 (gCO2e) ]]</f>
        <v>-80.990000000000009</v>
      </c>
      <c r="BS73" s="72">
        <f>Table13[[#This Row],[Inhaler carbon footprint per inhaler in v2.37 (gCO2e) ]]-Table13[[#This Row],[Inhaler carbon footprint per inhaler in v2.36 (gCO2e) ]]</f>
        <v>-80.990000000000009</v>
      </c>
    </row>
    <row r="74" spans="1:71" ht="207" x14ac:dyDescent="0.25">
      <c r="A74" s="69" t="s">
        <v>340</v>
      </c>
      <c r="B74" s="69" t="s">
        <v>82</v>
      </c>
      <c r="C74" s="69" t="s">
        <v>768</v>
      </c>
      <c r="D74" s="69" t="s">
        <v>5</v>
      </c>
      <c r="E74" s="69" t="s">
        <v>6</v>
      </c>
      <c r="F74" s="69" t="s">
        <v>3</v>
      </c>
      <c r="G74" s="69">
        <v>60</v>
      </c>
      <c r="H74" s="70">
        <v>21.5</v>
      </c>
      <c r="I74" s="70">
        <f t="shared" si="3"/>
        <v>0.35833333333333334</v>
      </c>
      <c r="J74" s="69" t="s">
        <v>498</v>
      </c>
      <c r="K74" s="69" t="s">
        <v>498</v>
      </c>
      <c r="L74" s="69" t="s">
        <v>8</v>
      </c>
      <c r="M74" s="69" t="s">
        <v>8</v>
      </c>
      <c r="N74" s="69" t="s">
        <v>2</v>
      </c>
      <c r="O74" s="69" t="s">
        <v>2</v>
      </c>
      <c r="P74" s="69" t="s">
        <v>2</v>
      </c>
      <c r="Q74" s="75" t="s">
        <v>2</v>
      </c>
      <c r="R74" s="69" t="s">
        <v>2</v>
      </c>
      <c r="S74" s="69" t="s">
        <v>700</v>
      </c>
      <c r="T74" s="69" t="s">
        <v>699</v>
      </c>
      <c r="U74" s="75" t="s">
        <v>2</v>
      </c>
      <c r="V74" s="75" t="s">
        <v>2</v>
      </c>
      <c r="W74" s="75" t="s">
        <v>2</v>
      </c>
      <c r="X74" s="75" t="s">
        <v>2</v>
      </c>
      <c r="Y74" s="75" t="s">
        <v>718</v>
      </c>
      <c r="Z74" s="69" t="s">
        <v>79</v>
      </c>
      <c r="AA74" s="69" t="s">
        <v>845</v>
      </c>
      <c r="AB74" s="69" t="s">
        <v>864</v>
      </c>
      <c r="AC74" s="69" t="s">
        <v>863</v>
      </c>
      <c r="AD74" s="72">
        <v>403.48</v>
      </c>
      <c r="AE74" s="75" t="s">
        <v>9</v>
      </c>
      <c r="AF74" s="75" t="s">
        <v>34</v>
      </c>
      <c r="AG74" s="75" t="s">
        <v>809</v>
      </c>
      <c r="AH74" s="75" t="s">
        <v>34</v>
      </c>
      <c r="AI74" s="75" t="s">
        <v>809</v>
      </c>
      <c r="AJ74" s="72" t="str">
        <f>IF(Table13[[#This Row],[Indicative carbon footprint /inhaler (gCO2e) 7,8]]&gt;1796,"High","Low")</f>
        <v>Low</v>
      </c>
      <c r="AK74" s="72" t="s">
        <v>587</v>
      </c>
      <c r="AL74" s="100" t="s">
        <v>851</v>
      </c>
      <c r="AM74" s="99" t="s">
        <v>852</v>
      </c>
      <c r="AN74" s="69" t="s">
        <v>2</v>
      </c>
      <c r="AO74" s="69" t="s">
        <v>2</v>
      </c>
      <c r="AP74" s="69" t="s">
        <v>2</v>
      </c>
      <c r="AQ74" s="69" t="s">
        <v>2</v>
      </c>
      <c r="AR74" s="74" t="s">
        <v>130</v>
      </c>
      <c r="AS74" s="101" t="s">
        <v>34</v>
      </c>
      <c r="AT74" s="69" t="s">
        <v>857</v>
      </c>
      <c r="AU74" s="82">
        <v>287.62</v>
      </c>
      <c r="AV74" s="82">
        <v>171.08</v>
      </c>
      <c r="AW74" s="69" t="s">
        <v>46</v>
      </c>
      <c r="AX74" s="82">
        <v>10.9</v>
      </c>
      <c r="AY74" s="69" t="s">
        <v>46</v>
      </c>
      <c r="AZ74" s="69" t="s">
        <v>46</v>
      </c>
      <c r="BA74" s="82" t="s">
        <v>46</v>
      </c>
      <c r="BB74" s="82">
        <v>7.97</v>
      </c>
      <c r="BC74" s="82">
        <v>0</v>
      </c>
      <c r="BD74" s="82">
        <v>55.31</v>
      </c>
      <c r="BE74" s="69" t="s">
        <v>46</v>
      </c>
      <c r="BF74" s="69" t="s">
        <v>2</v>
      </c>
      <c r="BG74" s="69" t="s">
        <v>2</v>
      </c>
      <c r="BH74" s="69" t="s">
        <v>2</v>
      </c>
      <c r="BI74" s="69" t="s">
        <v>2</v>
      </c>
      <c r="BJ74" s="69" t="s">
        <v>2</v>
      </c>
      <c r="BK74" s="69" t="s">
        <v>2</v>
      </c>
      <c r="BL74" s="69" t="s">
        <v>853</v>
      </c>
      <c r="BM74" s="75" t="s">
        <v>11</v>
      </c>
      <c r="BN74" s="75" t="s">
        <v>2</v>
      </c>
      <c r="BO74" s="72">
        <v>484.47</v>
      </c>
      <c r="BP74" s="72">
        <v>403.48</v>
      </c>
      <c r="BQ74" s="75" t="s">
        <v>11</v>
      </c>
      <c r="BR74" s="72">
        <f>Table13[[#This Row],[Inhaler carbon footprint per inhaler in v2.37 (gCO2e) ]]-Table13[[#This Row],[Inhaler carbon footprint per inhaler in v2.36 (gCO2e) ]]</f>
        <v>-80.990000000000009</v>
      </c>
      <c r="BS74" s="72">
        <f>Table13[[#This Row],[Inhaler carbon footprint per inhaler in v2.37 (gCO2e) ]]-Table13[[#This Row],[Inhaler carbon footprint per inhaler in v2.36 (gCO2e) ]]</f>
        <v>-80.990000000000009</v>
      </c>
    </row>
    <row r="75" spans="1:71" ht="300" x14ac:dyDescent="0.25">
      <c r="A75" s="69" t="s">
        <v>341</v>
      </c>
      <c r="B75" s="69" t="s">
        <v>82</v>
      </c>
      <c r="C75" s="69" t="s">
        <v>769</v>
      </c>
      <c r="D75" s="69" t="s">
        <v>12</v>
      </c>
      <c r="E75" s="69" t="s">
        <v>6</v>
      </c>
      <c r="F75" s="69" t="s">
        <v>3</v>
      </c>
      <c r="G75" s="69">
        <v>120</v>
      </c>
      <c r="H75" s="70">
        <v>21.5</v>
      </c>
      <c r="I75" s="70">
        <f t="shared" si="3"/>
        <v>0.17916666666666667</v>
      </c>
      <c r="J75" s="69" t="s">
        <v>57</v>
      </c>
      <c r="K75" s="69" t="s">
        <v>57</v>
      </c>
      <c r="L75" s="69" t="s">
        <v>79</v>
      </c>
      <c r="M75" s="69" t="s">
        <v>8</v>
      </c>
      <c r="N75" s="69" t="s">
        <v>2</v>
      </c>
      <c r="O75" s="69" t="s">
        <v>2</v>
      </c>
      <c r="P75" s="69" t="s">
        <v>2</v>
      </c>
      <c r="Q75" s="75" t="s">
        <v>2</v>
      </c>
      <c r="R75" s="69" t="s">
        <v>701</v>
      </c>
      <c r="S75" s="69" t="s">
        <v>1120</v>
      </c>
      <c r="T75" s="69" t="s">
        <v>2</v>
      </c>
      <c r="U75" s="69" t="s">
        <v>1121</v>
      </c>
      <c r="V75" s="69" t="s">
        <v>1122</v>
      </c>
      <c r="W75" s="70">
        <f>28*3*Table13[[#This Row],[Cost/puff 1,5-7]]</f>
        <v>15.05</v>
      </c>
      <c r="X75" s="69" t="s">
        <v>2</v>
      </c>
      <c r="Y75" s="75" t="s">
        <v>718</v>
      </c>
      <c r="Z75" s="69" t="s">
        <v>79</v>
      </c>
      <c r="AA75" s="69" t="s">
        <v>845</v>
      </c>
      <c r="AB75" s="69" t="s">
        <v>865</v>
      </c>
      <c r="AC75" s="69" t="s">
        <v>863</v>
      </c>
      <c r="AD75" s="72">
        <v>403.48</v>
      </c>
      <c r="AE75" s="75" t="s">
        <v>9</v>
      </c>
      <c r="AF75" s="75" t="s">
        <v>34</v>
      </c>
      <c r="AG75" s="75" t="s">
        <v>809</v>
      </c>
      <c r="AH75" s="75" t="s">
        <v>34</v>
      </c>
      <c r="AI75" s="75" t="s">
        <v>809</v>
      </c>
      <c r="AJ75" s="72" t="str">
        <f>IF(Table13[[#This Row],[Indicative carbon footprint /inhaler (gCO2e) 7,8]]&gt;1796,"High","Low")</f>
        <v>Low</v>
      </c>
      <c r="AK75" s="72" t="s">
        <v>587</v>
      </c>
      <c r="AL75" s="100" t="s">
        <v>851</v>
      </c>
      <c r="AM75" s="99" t="s">
        <v>852</v>
      </c>
      <c r="AN75" s="69" t="s">
        <v>2</v>
      </c>
      <c r="AO75" s="69" t="s">
        <v>2</v>
      </c>
      <c r="AP75" s="69" t="s">
        <v>2</v>
      </c>
      <c r="AQ75" s="69" t="s">
        <v>2</v>
      </c>
      <c r="AR75" s="74" t="s">
        <v>131</v>
      </c>
      <c r="AS75" s="101" t="s">
        <v>34</v>
      </c>
      <c r="AT75" s="69" t="s">
        <v>857</v>
      </c>
      <c r="AU75" s="82">
        <v>287.62</v>
      </c>
      <c r="AV75" s="82">
        <v>171.08</v>
      </c>
      <c r="AW75" s="69" t="s">
        <v>46</v>
      </c>
      <c r="AX75" s="82">
        <v>10.9</v>
      </c>
      <c r="AY75" s="69" t="s">
        <v>46</v>
      </c>
      <c r="AZ75" s="69" t="s">
        <v>46</v>
      </c>
      <c r="BA75" s="82" t="s">
        <v>46</v>
      </c>
      <c r="BB75" s="82">
        <v>7.97</v>
      </c>
      <c r="BC75" s="82">
        <v>0</v>
      </c>
      <c r="BD75" s="82">
        <v>55.31</v>
      </c>
      <c r="BE75" s="69" t="s">
        <v>46</v>
      </c>
      <c r="BF75" s="69" t="s">
        <v>2</v>
      </c>
      <c r="BG75" s="69" t="s">
        <v>2</v>
      </c>
      <c r="BH75" s="69" t="s">
        <v>2</v>
      </c>
      <c r="BI75" s="69" t="s">
        <v>2</v>
      </c>
      <c r="BJ75" s="69" t="s">
        <v>2</v>
      </c>
      <c r="BK75" s="69" t="s">
        <v>2</v>
      </c>
      <c r="BL75" s="69" t="s">
        <v>853</v>
      </c>
      <c r="BM75" s="75" t="s">
        <v>11</v>
      </c>
      <c r="BN75" s="75" t="s">
        <v>2</v>
      </c>
      <c r="BO75" s="72">
        <v>484.47</v>
      </c>
      <c r="BP75" s="72">
        <v>403.48</v>
      </c>
      <c r="BQ75" s="75" t="s">
        <v>11</v>
      </c>
      <c r="BR75" s="72">
        <f>Table13[[#This Row],[Inhaler carbon footprint per inhaler in v2.37 (gCO2e) ]]-Table13[[#This Row],[Inhaler carbon footprint per inhaler in v2.36 (gCO2e) ]]</f>
        <v>-80.990000000000009</v>
      </c>
      <c r="BS75" s="72">
        <f>Table13[[#This Row],[Inhaler carbon footprint per inhaler in v2.37 (gCO2e) ]]-Table13[[#This Row],[Inhaler carbon footprint per inhaler in v2.36 (gCO2e) ]]</f>
        <v>-80.990000000000009</v>
      </c>
    </row>
    <row r="76" spans="1:71" ht="405" x14ac:dyDescent="0.25">
      <c r="A76" s="69" t="s">
        <v>342</v>
      </c>
      <c r="B76" s="69" t="s">
        <v>43</v>
      </c>
      <c r="C76" s="69" t="s">
        <v>755</v>
      </c>
      <c r="D76" s="69" t="s">
        <v>5</v>
      </c>
      <c r="E76" s="69" t="s">
        <v>6</v>
      </c>
      <c r="F76" s="69" t="s">
        <v>13</v>
      </c>
      <c r="G76" s="69">
        <v>120</v>
      </c>
      <c r="H76" s="70">
        <v>29.32</v>
      </c>
      <c r="I76" s="70">
        <f t="shared" si="3"/>
        <v>0.24433333333333335</v>
      </c>
      <c r="J76" s="69" t="s">
        <v>7</v>
      </c>
      <c r="K76" s="69" t="s">
        <v>7</v>
      </c>
      <c r="L76" s="69" t="s">
        <v>79</v>
      </c>
      <c r="M76" s="69" t="s">
        <v>8</v>
      </c>
      <c r="N76" s="69" t="s">
        <v>2</v>
      </c>
      <c r="O76" s="69" t="s">
        <v>2</v>
      </c>
      <c r="P76" s="69" t="s">
        <v>2</v>
      </c>
      <c r="Q76" s="75" t="s">
        <v>2</v>
      </c>
      <c r="R76" s="69" t="s">
        <v>700</v>
      </c>
      <c r="S76" s="69" t="s">
        <v>699</v>
      </c>
      <c r="T76" s="69" t="s">
        <v>2</v>
      </c>
      <c r="U76" s="95" t="s">
        <v>1132</v>
      </c>
      <c r="V76" s="95" t="s">
        <v>1131</v>
      </c>
      <c r="W76" s="70">
        <v>20.524000000000001</v>
      </c>
      <c r="X76" s="70">
        <v>34.206666666666671</v>
      </c>
      <c r="Y76" s="70" t="s">
        <v>717</v>
      </c>
      <c r="Z76" s="69" t="s">
        <v>79</v>
      </c>
      <c r="AA76" s="69" t="s">
        <v>1133</v>
      </c>
      <c r="AB76" s="69" t="s">
        <v>1137</v>
      </c>
      <c r="AC76" s="69" t="s">
        <v>1086</v>
      </c>
      <c r="AD76" s="72">
        <f>Table13[[#This Row],[Carbon footprint per inhaler attributed to propellant PrescQIPP calculated as gCO2e (from PIL or as assigned in the methodology)11-13]]</f>
        <v>11650.210000000001</v>
      </c>
      <c r="AE76" s="75" t="s">
        <v>530</v>
      </c>
      <c r="AF76" s="75" t="s">
        <v>11</v>
      </c>
      <c r="AG76" s="75" t="s">
        <v>46</v>
      </c>
      <c r="AH76" s="75" t="s">
        <v>46</v>
      </c>
      <c r="AI76" s="75" t="s">
        <v>46</v>
      </c>
      <c r="AJ76" s="72" t="str">
        <f>IF(Table13[[#This Row],[Indicative carbon footprint /inhaler (gCO2e) 7,8]]&gt;1796,"High","Low")</f>
        <v>High</v>
      </c>
      <c r="AK76" s="72" t="s">
        <v>587</v>
      </c>
      <c r="AL76" s="105" t="s">
        <v>1081</v>
      </c>
      <c r="AM76" s="69" t="s">
        <v>418</v>
      </c>
      <c r="AN76" s="69" t="s">
        <v>177</v>
      </c>
      <c r="AO76" s="69">
        <v>8.1470000000000002</v>
      </c>
      <c r="AP76" s="69">
        <v>1.2E-2</v>
      </c>
      <c r="AQ76" s="72">
        <f>1430*Table13[[#This Row],[Amount of propellant per inhaler (from PIL) (g)12-13]]</f>
        <v>11650.210000000001</v>
      </c>
      <c r="AR76" s="74" t="s">
        <v>133</v>
      </c>
      <c r="AS76" s="69" t="s">
        <v>11</v>
      </c>
      <c r="AT76" s="69" t="s">
        <v>66</v>
      </c>
      <c r="AU76" s="69">
        <f>1.29*Table13[[#This Row],[Doses per inhaler1,2]]</f>
        <v>154.80000000000001</v>
      </c>
      <c r="AV76" s="69">
        <f>0.81*Table13[[#This Row],[Doses per inhaler1,2]]</f>
        <v>97.2</v>
      </c>
      <c r="AW76" s="69">
        <f>1.08*Table13[[#This Row],[Doses per inhaler1,2]]</f>
        <v>129.60000000000002</v>
      </c>
      <c r="AX76" s="69">
        <f>0.1*Table13[[#This Row],[Doses per inhaler1,2]]</f>
        <v>12</v>
      </c>
      <c r="AY76" s="69">
        <f>1.36*Table13[[#This Row],[Doses per inhaler1,2]]</f>
        <v>163.20000000000002</v>
      </c>
      <c r="AZ76" s="69">
        <f>0.01*Table13[[#This Row],[Doses per inhaler1,2]]</f>
        <v>1.2</v>
      </c>
      <c r="BA76" s="69">
        <f>1.44*Table13[[#This Row],[Doses per inhaler1,2]]</f>
        <v>172.79999999999998</v>
      </c>
      <c r="BB76" s="69">
        <f>0.33*Table13[[#This Row],[Doses per inhaler1,2]]</f>
        <v>39.6</v>
      </c>
      <c r="BC76" s="69">
        <f>66.27*Table13[[#This Row],[Doses per inhaler1,2]]</f>
        <v>7952.4</v>
      </c>
      <c r="BD76" s="69">
        <f>21.04*Table13[[#This Row],[Doses per inhaler1,2]]</f>
        <v>2524.7999999999997</v>
      </c>
      <c r="BE76" s="69" t="s">
        <v>46</v>
      </c>
      <c r="BF76" s="69" t="s">
        <v>11</v>
      </c>
      <c r="BG76" s="98" t="s">
        <v>1056</v>
      </c>
      <c r="BH76" s="98" t="s">
        <v>811</v>
      </c>
      <c r="BI76" s="98" t="s">
        <v>11</v>
      </c>
      <c r="BJ76" s="81" t="s">
        <v>812</v>
      </c>
      <c r="BK76" s="69" t="s">
        <v>46</v>
      </c>
      <c r="BL76" s="69" t="s">
        <v>810</v>
      </c>
      <c r="BM76" s="75" t="s">
        <v>11</v>
      </c>
      <c r="BN76" s="75" t="s">
        <v>877</v>
      </c>
      <c r="BO76" s="72">
        <v>11248.8</v>
      </c>
      <c r="BP76" s="72">
        <v>11650.210000000001</v>
      </c>
      <c r="BQ76" s="75" t="s">
        <v>11</v>
      </c>
      <c r="BR76" s="72">
        <f>Table13[[#This Row],[Inhaler carbon footprint per inhaler in v2.37 (gCO2e) ]]-Table13[[#This Row],[Inhaler carbon footprint per inhaler in v2.36 (gCO2e) ]]</f>
        <v>401.41000000000167</v>
      </c>
      <c r="BS76" s="72">
        <f>Table13[[#This Row],[Inhaler carbon footprint per inhaler in v2.37 (gCO2e) ]]-Table13[[#This Row],[Inhaler carbon footprint per inhaler in v2.36 (gCO2e) ]]</f>
        <v>401.41000000000167</v>
      </c>
    </row>
    <row r="77" spans="1:71" ht="405" x14ac:dyDescent="0.25">
      <c r="A77" s="69" t="s">
        <v>343</v>
      </c>
      <c r="B77" s="69" t="s">
        <v>43</v>
      </c>
      <c r="C77" s="69" t="s">
        <v>756</v>
      </c>
      <c r="D77" s="69" t="s">
        <v>12</v>
      </c>
      <c r="E77" s="69" t="s">
        <v>6</v>
      </c>
      <c r="F77" s="69" t="s">
        <v>13</v>
      </c>
      <c r="G77" s="69">
        <v>120</v>
      </c>
      <c r="H77" s="70">
        <v>29.32</v>
      </c>
      <c r="I77" s="70">
        <f t="shared" si="3"/>
        <v>0.24433333333333335</v>
      </c>
      <c r="J77" s="69" t="s">
        <v>7</v>
      </c>
      <c r="K77" s="69" t="s">
        <v>7</v>
      </c>
      <c r="L77" s="69" t="s">
        <v>8</v>
      </c>
      <c r="M77" s="69" t="s">
        <v>8</v>
      </c>
      <c r="N77" s="69" t="s">
        <v>2</v>
      </c>
      <c r="O77" s="69" t="s">
        <v>2</v>
      </c>
      <c r="P77" s="69" t="s">
        <v>2</v>
      </c>
      <c r="Q77" s="75" t="s">
        <v>2</v>
      </c>
      <c r="R77" s="69" t="s">
        <v>2</v>
      </c>
      <c r="S77" s="69" t="s">
        <v>2</v>
      </c>
      <c r="T77" s="69" t="s">
        <v>699</v>
      </c>
      <c r="U77" s="69" t="s">
        <v>2</v>
      </c>
      <c r="V77" s="69" t="s">
        <v>2</v>
      </c>
      <c r="W77" s="69" t="s">
        <v>2</v>
      </c>
      <c r="X77" s="69" t="s">
        <v>2</v>
      </c>
      <c r="Y77" s="70" t="s">
        <v>717</v>
      </c>
      <c r="Z77" s="69" t="s">
        <v>79</v>
      </c>
      <c r="AA77" s="69" t="s">
        <v>814</v>
      </c>
      <c r="AB77" s="69" t="s">
        <v>815</v>
      </c>
      <c r="AC77" s="69" t="s">
        <v>1087</v>
      </c>
      <c r="AD77" s="72">
        <f>Table13[[#This Row],[Carbon footprint per inhaler attributed to propellant PrescQIPP calculated as gCO2e (from PIL or as assigned in the methodology)11-13]]</f>
        <v>14809.08</v>
      </c>
      <c r="AE77" s="75" t="s">
        <v>530</v>
      </c>
      <c r="AF77" s="75" t="s">
        <v>11</v>
      </c>
      <c r="AG77" s="75" t="s">
        <v>46</v>
      </c>
      <c r="AH77" s="75" t="s">
        <v>46</v>
      </c>
      <c r="AI77" s="75" t="s">
        <v>46</v>
      </c>
      <c r="AJ77" s="72" t="str">
        <f>IF(Table13[[#This Row],[Indicative carbon footprint /inhaler (gCO2e) 7,8]]&gt;1796,"High","Low")</f>
        <v>High</v>
      </c>
      <c r="AK77" s="72" t="s">
        <v>587</v>
      </c>
      <c r="AL77" s="93" t="s">
        <v>1081</v>
      </c>
      <c r="AM77" s="69" t="s">
        <v>418</v>
      </c>
      <c r="AN77" s="69" t="s">
        <v>177</v>
      </c>
      <c r="AO77" s="69">
        <v>10.356</v>
      </c>
      <c r="AP77" s="69">
        <v>1.4999999999999999E-2</v>
      </c>
      <c r="AQ77" s="72">
        <f>1430*Table13[[#This Row],[Amount of propellant per inhaler (from PIL) (g)12-13]]</f>
        <v>14809.08</v>
      </c>
      <c r="AR77" s="74" t="s">
        <v>134</v>
      </c>
      <c r="AS77" s="69" t="s">
        <v>11</v>
      </c>
      <c r="AT77" s="69" t="s">
        <v>66</v>
      </c>
      <c r="AU77" s="82">
        <f>1.65*Table13[[#This Row],[Doses per inhaler1,2]]</f>
        <v>198</v>
      </c>
      <c r="AV77" s="82">
        <f>0.81*Table13[[#This Row],[Doses per inhaler1,2]]</f>
        <v>97.2</v>
      </c>
      <c r="AW77" s="69">
        <f>1.08*Table13[[#This Row],[Doses per inhaler1,2]]</f>
        <v>129.60000000000002</v>
      </c>
      <c r="AX77" s="82">
        <f>0.11*Table13[[#This Row],[Doses per inhaler1,2]]</f>
        <v>13.2</v>
      </c>
      <c r="AY77" s="69">
        <f>1.36*Table13[[#This Row],[Doses per inhaler1,2]]</f>
        <v>163.20000000000002</v>
      </c>
      <c r="AZ77" s="69">
        <f>0.01*Table13[[#This Row],[Doses per inhaler1,2]]</f>
        <v>1.2</v>
      </c>
      <c r="BA77" s="82">
        <f>1.63*Table13[[#This Row],[Doses per inhaler1,2]]</f>
        <v>195.6</v>
      </c>
      <c r="BB77" s="82">
        <f>0.34*Table13[[#This Row],[Doses per inhaler1,2]]</f>
        <v>40.800000000000004</v>
      </c>
      <c r="BC77" s="82">
        <f>84.22*Table13[[#This Row],[Doses per inhaler1,2]]</f>
        <v>10106.4</v>
      </c>
      <c r="BD77" s="82">
        <f>26.72*Table13[[#This Row],[Doses per inhaler1,2]]</f>
        <v>3206.3999999999996</v>
      </c>
      <c r="BE77" s="69" t="s">
        <v>46</v>
      </c>
      <c r="BF77" s="69" t="s">
        <v>11</v>
      </c>
      <c r="BG77" s="98" t="s">
        <v>1056</v>
      </c>
      <c r="BH77" s="98" t="s">
        <v>811</v>
      </c>
      <c r="BI77" s="98" t="s">
        <v>11</v>
      </c>
      <c r="BJ77" s="99" t="s">
        <v>812</v>
      </c>
      <c r="BK77" s="69" t="s">
        <v>46</v>
      </c>
      <c r="BL77" s="69" t="s">
        <v>810</v>
      </c>
      <c r="BM77" s="75" t="s">
        <v>11</v>
      </c>
      <c r="BN77" s="75" t="s">
        <v>877</v>
      </c>
      <c r="BO77" s="72">
        <v>14152.8</v>
      </c>
      <c r="BP77" s="72">
        <v>14809.08</v>
      </c>
      <c r="BQ77" s="75" t="s">
        <v>11</v>
      </c>
      <c r="BR77" s="72">
        <f>Table13[[#This Row],[Inhaler carbon footprint per inhaler in v2.37 (gCO2e) ]]-Table13[[#This Row],[Inhaler carbon footprint per inhaler in v2.36 (gCO2e) ]]</f>
        <v>656.28000000000065</v>
      </c>
      <c r="BS77" s="72">
        <f>Table13[[#This Row],[Inhaler carbon footprint per inhaler in v2.37 (gCO2e) ]]-Table13[[#This Row],[Inhaler carbon footprint per inhaler in v2.36 (gCO2e) ]]</f>
        <v>656.28000000000065</v>
      </c>
    </row>
    <row r="78" spans="1:71" ht="409.5" x14ac:dyDescent="0.25">
      <c r="A78" s="69" t="s">
        <v>344</v>
      </c>
      <c r="B78" s="69" t="s">
        <v>43</v>
      </c>
      <c r="C78" s="69" t="s">
        <v>755</v>
      </c>
      <c r="D78" s="69" t="s">
        <v>5</v>
      </c>
      <c r="E78" s="69" t="s">
        <v>6</v>
      </c>
      <c r="F78" s="69" t="s">
        <v>3</v>
      </c>
      <c r="G78" s="69">
        <v>120</v>
      </c>
      <c r="H78" s="70">
        <v>29.32</v>
      </c>
      <c r="I78" s="70">
        <f t="shared" si="3"/>
        <v>0.24433333333333335</v>
      </c>
      <c r="J78" s="69" t="s">
        <v>7</v>
      </c>
      <c r="K78" s="69" t="s">
        <v>7</v>
      </c>
      <c r="L78" s="69" t="s">
        <v>79</v>
      </c>
      <c r="M78" s="69" t="s">
        <v>8</v>
      </c>
      <c r="N78" s="69" t="s">
        <v>2</v>
      </c>
      <c r="O78" s="69" t="s">
        <v>2</v>
      </c>
      <c r="P78" s="69" t="s">
        <v>2</v>
      </c>
      <c r="Q78" s="75" t="s">
        <v>2</v>
      </c>
      <c r="R78" s="69" t="s">
        <v>700</v>
      </c>
      <c r="S78" s="69" t="s">
        <v>699</v>
      </c>
      <c r="T78" s="69" t="s">
        <v>2</v>
      </c>
      <c r="U78" s="95" t="s">
        <v>1132</v>
      </c>
      <c r="V78" s="95" t="s">
        <v>1131</v>
      </c>
      <c r="W78" s="70">
        <v>20.524000000000001</v>
      </c>
      <c r="X78" s="70">
        <v>34.206666666666671</v>
      </c>
      <c r="Y78" s="70" t="s">
        <v>717</v>
      </c>
      <c r="Z78" s="69" t="s">
        <v>79</v>
      </c>
      <c r="AA78" s="69" t="s">
        <v>715</v>
      </c>
      <c r="AB78" s="69" t="s">
        <v>1058</v>
      </c>
      <c r="AC78" s="69" t="s">
        <v>1088</v>
      </c>
      <c r="AD78" s="72">
        <v>889.2</v>
      </c>
      <c r="AE78" s="75" t="s">
        <v>9</v>
      </c>
      <c r="AF78" s="75" t="s">
        <v>11</v>
      </c>
      <c r="AG78" s="75" t="s">
        <v>46</v>
      </c>
      <c r="AH78" s="75" t="s">
        <v>46</v>
      </c>
      <c r="AI78" s="75" t="s">
        <v>46</v>
      </c>
      <c r="AJ78" s="72" t="str">
        <f>IF(Table13[[#This Row],[Indicative carbon footprint /inhaler (gCO2e) 7,8]]&gt;1796,"High","Low")</f>
        <v>Low</v>
      </c>
      <c r="AK78" s="72" t="s">
        <v>587</v>
      </c>
      <c r="AL78" s="105" t="s">
        <v>1081</v>
      </c>
      <c r="AM78" s="69" t="s">
        <v>135</v>
      </c>
      <c r="AN78" s="69" t="s">
        <v>2</v>
      </c>
      <c r="AO78" s="69" t="s">
        <v>2</v>
      </c>
      <c r="AP78" s="69" t="s">
        <v>2</v>
      </c>
      <c r="AQ78" s="69" t="s">
        <v>2</v>
      </c>
      <c r="AR78" s="74" t="s">
        <v>136</v>
      </c>
      <c r="AS78" s="69" t="s">
        <v>11</v>
      </c>
      <c r="AT78" s="69" t="s">
        <v>66</v>
      </c>
      <c r="AU78" s="82">
        <f>0.02*Table13[[#This Row],[Doses per inhaler1,2]]</f>
        <v>2.4</v>
      </c>
      <c r="AV78" s="82">
        <f>1.61*Table13[[#This Row],[Doses per inhaler1,2]]</f>
        <v>193.20000000000002</v>
      </c>
      <c r="AW78" s="69">
        <f>2.81*Table13[[#This Row],[Doses per inhaler1,2]]</f>
        <v>337.2</v>
      </c>
      <c r="AX78" s="82">
        <f>0.14*Table13[[#This Row],[Doses per inhaler1,2]]</f>
        <v>16.8</v>
      </c>
      <c r="AY78" s="69">
        <f>1.78*Table13[[#This Row],[Doses per inhaler1,2]]</f>
        <v>213.6</v>
      </c>
      <c r="AZ78" s="69">
        <f>0.01*Table13[[#This Row],[Doses per inhaler1,2]]</f>
        <v>1.2</v>
      </c>
      <c r="BA78" s="82">
        <v>0</v>
      </c>
      <c r="BB78" s="82">
        <f>0.33*Table13[[#This Row],[Doses per inhaler1,2]]</f>
        <v>39.6</v>
      </c>
      <c r="BC78" s="82">
        <v>0</v>
      </c>
      <c r="BD78" s="82">
        <f>0.71*Table13[[#This Row],[Doses per inhaler1,2]]</f>
        <v>85.199999999999989</v>
      </c>
      <c r="BE78" s="69" t="s">
        <v>46</v>
      </c>
      <c r="BF78" s="69" t="s">
        <v>2</v>
      </c>
      <c r="BG78" s="69" t="s">
        <v>2</v>
      </c>
      <c r="BH78" s="69" t="s">
        <v>2</v>
      </c>
      <c r="BI78" s="69" t="s">
        <v>2</v>
      </c>
      <c r="BJ78" s="69" t="s">
        <v>2</v>
      </c>
      <c r="BK78" s="69" t="s">
        <v>2</v>
      </c>
      <c r="BL78" s="69" t="s">
        <v>810</v>
      </c>
      <c r="BM78" s="75" t="s">
        <v>11</v>
      </c>
      <c r="BN78" s="75" t="s">
        <v>2</v>
      </c>
      <c r="BO78" s="72">
        <v>889.2</v>
      </c>
      <c r="BP78" s="72">
        <v>889.2</v>
      </c>
      <c r="BQ78" s="75" t="s">
        <v>34</v>
      </c>
      <c r="BR78" s="72">
        <f>Table13[[#This Row],[Inhaler carbon footprint per inhaler in v2.37 (gCO2e) ]]-Table13[[#This Row],[Inhaler carbon footprint per inhaler in v2.36 (gCO2e) ]]</f>
        <v>0</v>
      </c>
      <c r="BS78" s="72" t="s">
        <v>809</v>
      </c>
    </row>
    <row r="79" spans="1:71" ht="409.5" x14ac:dyDescent="0.25">
      <c r="A79" s="69" t="s">
        <v>396</v>
      </c>
      <c r="B79" s="69" t="s">
        <v>43</v>
      </c>
      <c r="C79" s="69" t="s">
        <v>756</v>
      </c>
      <c r="D79" s="69" t="s">
        <v>12</v>
      </c>
      <c r="E79" s="69" t="s">
        <v>6</v>
      </c>
      <c r="F79" s="69" t="s">
        <v>3</v>
      </c>
      <c r="G79" s="69">
        <v>120</v>
      </c>
      <c r="H79" s="70">
        <v>29.32</v>
      </c>
      <c r="I79" s="70">
        <f t="shared" si="3"/>
        <v>0.24433333333333335</v>
      </c>
      <c r="J79" s="69" t="s">
        <v>7</v>
      </c>
      <c r="K79" s="69" t="s">
        <v>7</v>
      </c>
      <c r="L79" s="69" t="s">
        <v>8</v>
      </c>
      <c r="M79" s="69" t="s">
        <v>8</v>
      </c>
      <c r="N79" s="69" t="s">
        <v>2</v>
      </c>
      <c r="O79" s="69" t="s">
        <v>2</v>
      </c>
      <c r="P79" s="69" t="s">
        <v>2</v>
      </c>
      <c r="Q79" s="75" t="s">
        <v>2</v>
      </c>
      <c r="R79" s="69" t="s">
        <v>2</v>
      </c>
      <c r="S79" s="69" t="s">
        <v>2</v>
      </c>
      <c r="T79" s="69" t="s">
        <v>699</v>
      </c>
      <c r="U79" s="69" t="s">
        <v>2</v>
      </c>
      <c r="V79" s="69" t="s">
        <v>2</v>
      </c>
      <c r="W79" s="70" t="s">
        <v>2</v>
      </c>
      <c r="X79" s="70" t="s">
        <v>2</v>
      </c>
      <c r="Y79" s="70" t="s">
        <v>717</v>
      </c>
      <c r="Z79" s="69" t="s">
        <v>79</v>
      </c>
      <c r="AA79" s="69" t="s">
        <v>715</v>
      </c>
      <c r="AB79" s="69" t="s">
        <v>1058</v>
      </c>
      <c r="AC79" s="69" t="s">
        <v>1088</v>
      </c>
      <c r="AD79" s="72">
        <v>890.4</v>
      </c>
      <c r="AE79" s="75" t="s">
        <v>9</v>
      </c>
      <c r="AF79" s="75" t="s">
        <v>11</v>
      </c>
      <c r="AG79" s="75" t="s">
        <v>46</v>
      </c>
      <c r="AH79" s="75" t="s">
        <v>46</v>
      </c>
      <c r="AI79" s="75" t="s">
        <v>46</v>
      </c>
      <c r="AJ79" s="72" t="str">
        <f>IF(Table13[[#This Row],[Indicative carbon footprint /inhaler (gCO2e) 7,8]]&gt;1796,"High","Low")</f>
        <v>Low</v>
      </c>
      <c r="AK79" s="72" t="s">
        <v>587</v>
      </c>
      <c r="AL79" s="93" t="s">
        <v>1081</v>
      </c>
      <c r="AM79" s="69" t="s">
        <v>135</v>
      </c>
      <c r="AN79" s="69" t="s">
        <v>2</v>
      </c>
      <c r="AO79" s="69" t="s">
        <v>2</v>
      </c>
      <c r="AP79" s="69" t="s">
        <v>2</v>
      </c>
      <c r="AQ79" s="69" t="s">
        <v>2</v>
      </c>
      <c r="AR79" s="74" t="s">
        <v>137</v>
      </c>
      <c r="AS79" s="69" t="s">
        <v>11</v>
      </c>
      <c r="AT79" s="69" t="s">
        <v>66</v>
      </c>
      <c r="AU79" s="82">
        <f>0.02*Table13[[#This Row],[Doses per inhaler1,2]]</f>
        <v>2.4</v>
      </c>
      <c r="AV79" s="82">
        <f>1.61*Table13[[#This Row],[Doses per inhaler1,2]]</f>
        <v>193.20000000000002</v>
      </c>
      <c r="AW79" s="69">
        <f>2.81*Table13[[#This Row],[Doses per inhaler1,2]]</f>
        <v>337.2</v>
      </c>
      <c r="AX79" s="82">
        <f>0.14*Table13[[#This Row],[Doses per inhaler1,2]]</f>
        <v>16.8</v>
      </c>
      <c r="AY79" s="69">
        <f>1.78*Table13[[#This Row],[Doses per inhaler1,2]]</f>
        <v>213.6</v>
      </c>
      <c r="AZ79" s="69">
        <f>0.01*Table13[[#This Row],[Doses per inhaler1,2]]</f>
        <v>1.2</v>
      </c>
      <c r="BA79" s="82">
        <v>0</v>
      </c>
      <c r="BB79" s="82">
        <f>0.33*Table13[[#This Row],[Doses per inhaler1,2]]</f>
        <v>39.6</v>
      </c>
      <c r="BC79" s="82">
        <v>0</v>
      </c>
      <c r="BD79" s="82">
        <f>0.71*Table13[[#This Row],[Doses per inhaler1,2]]</f>
        <v>85.199999999999989</v>
      </c>
      <c r="BE79" s="69" t="s">
        <v>46</v>
      </c>
      <c r="BF79" s="69" t="s">
        <v>2</v>
      </c>
      <c r="BG79" s="69" t="s">
        <v>2</v>
      </c>
      <c r="BH79" s="69" t="s">
        <v>2</v>
      </c>
      <c r="BI79" s="69" t="s">
        <v>2</v>
      </c>
      <c r="BJ79" s="69" t="s">
        <v>2</v>
      </c>
      <c r="BK79" s="69" t="s">
        <v>2</v>
      </c>
      <c r="BL79" s="69" t="s">
        <v>810</v>
      </c>
      <c r="BM79" s="75" t="s">
        <v>11</v>
      </c>
      <c r="BN79" s="75" t="s">
        <v>2</v>
      </c>
      <c r="BO79" s="72">
        <v>890.4</v>
      </c>
      <c r="BP79" s="72">
        <v>890.4</v>
      </c>
      <c r="BQ79" s="75" t="s">
        <v>34</v>
      </c>
      <c r="BR79" s="72">
        <f>Table13[[#This Row],[Inhaler carbon footprint per inhaler in v2.37 (gCO2e) ]]-Table13[[#This Row],[Inhaler carbon footprint per inhaler in v2.36 (gCO2e) ]]</f>
        <v>0</v>
      </c>
      <c r="BS79" s="72" t="s">
        <v>809</v>
      </c>
    </row>
    <row r="80" spans="1:71" ht="207" x14ac:dyDescent="0.25">
      <c r="A80" s="69" t="s">
        <v>345</v>
      </c>
      <c r="B80" s="69" t="s">
        <v>82</v>
      </c>
      <c r="C80" s="69" t="s">
        <v>757</v>
      </c>
      <c r="D80" s="69" t="s">
        <v>12</v>
      </c>
      <c r="E80" s="69" t="s">
        <v>6</v>
      </c>
      <c r="F80" s="69" t="s">
        <v>3</v>
      </c>
      <c r="G80" s="69">
        <v>60</v>
      </c>
      <c r="H80" s="70">
        <v>21.5</v>
      </c>
      <c r="I80" s="70">
        <f t="shared" si="3"/>
        <v>0.35833333333333334</v>
      </c>
      <c r="J80" s="69" t="s">
        <v>26</v>
      </c>
      <c r="K80" s="69" t="s">
        <v>26</v>
      </c>
      <c r="L80" s="69" t="s">
        <v>8</v>
      </c>
      <c r="M80" s="69" t="s">
        <v>8</v>
      </c>
      <c r="N80" s="69" t="s">
        <v>2</v>
      </c>
      <c r="O80" s="69" t="s">
        <v>2</v>
      </c>
      <c r="P80" s="69" t="s">
        <v>2</v>
      </c>
      <c r="Q80" s="75" t="s">
        <v>2</v>
      </c>
      <c r="R80" s="69" t="s">
        <v>2</v>
      </c>
      <c r="S80" s="69" t="s">
        <v>700</v>
      </c>
      <c r="T80" s="69" t="s">
        <v>2</v>
      </c>
      <c r="U80" s="69" t="s">
        <v>2</v>
      </c>
      <c r="V80" s="69" t="s">
        <v>2</v>
      </c>
      <c r="W80" s="70" t="s">
        <v>2</v>
      </c>
      <c r="X80" s="70" t="s">
        <v>2</v>
      </c>
      <c r="Y80" s="75" t="s">
        <v>720</v>
      </c>
      <c r="Z80" s="69" t="s">
        <v>79</v>
      </c>
      <c r="AA80" s="69" t="s">
        <v>845</v>
      </c>
      <c r="AB80" s="69" t="s">
        <v>866</v>
      </c>
      <c r="AC80" s="69" t="s">
        <v>863</v>
      </c>
      <c r="AD80" s="72">
        <v>487.71</v>
      </c>
      <c r="AE80" s="75" t="s">
        <v>9</v>
      </c>
      <c r="AF80" s="75" t="s">
        <v>34</v>
      </c>
      <c r="AG80" s="75" t="s">
        <v>809</v>
      </c>
      <c r="AH80" s="75" t="s">
        <v>34</v>
      </c>
      <c r="AI80" s="75" t="s">
        <v>809</v>
      </c>
      <c r="AJ80" s="72" t="str">
        <f>IF(Table13[[#This Row],[Indicative carbon footprint /inhaler (gCO2e) 7,8]]&gt;1796,"High","Low")</f>
        <v>Low</v>
      </c>
      <c r="AK80" s="72" t="s">
        <v>587</v>
      </c>
      <c r="AL80" s="100" t="s">
        <v>851</v>
      </c>
      <c r="AM80" s="99" t="s">
        <v>852</v>
      </c>
      <c r="AN80" s="69" t="s">
        <v>2</v>
      </c>
      <c r="AO80" s="69" t="s">
        <v>2</v>
      </c>
      <c r="AP80" s="69" t="s">
        <v>2</v>
      </c>
      <c r="AQ80" s="69" t="s">
        <v>2</v>
      </c>
      <c r="AR80" s="74" t="s">
        <v>138</v>
      </c>
      <c r="AS80" s="101" t="s">
        <v>34</v>
      </c>
      <c r="AT80" s="69" t="s">
        <v>857</v>
      </c>
      <c r="AU80" s="82">
        <v>242.7</v>
      </c>
      <c r="AV80" s="82">
        <v>171.08</v>
      </c>
      <c r="AW80" s="69" t="s">
        <v>46</v>
      </c>
      <c r="AX80" s="82">
        <v>10.71</v>
      </c>
      <c r="AY80" s="69" t="s">
        <v>46</v>
      </c>
      <c r="AZ80" s="69" t="s">
        <v>46</v>
      </c>
      <c r="BA80" s="82" t="s">
        <v>46</v>
      </c>
      <c r="BB80" s="82">
        <v>7.97</v>
      </c>
      <c r="BC80" s="82">
        <v>0</v>
      </c>
      <c r="BD80" s="82">
        <v>55.31</v>
      </c>
      <c r="BE80" s="69" t="s">
        <v>46</v>
      </c>
      <c r="BF80" s="69" t="s">
        <v>2</v>
      </c>
      <c r="BG80" s="69" t="s">
        <v>2</v>
      </c>
      <c r="BH80" s="69" t="s">
        <v>2</v>
      </c>
      <c r="BI80" s="69" t="s">
        <v>2</v>
      </c>
      <c r="BJ80" s="69" t="s">
        <v>2</v>
      </c>
      <c r="BK80" s="69" t="s">
        <v>2</v>
      </c>
      <c r="BL80" s="69" t="s">
        <v>853</v>
      </c>
      <c r="BM80" s="75" t="s">
        <v>11</v>
      </c>
      <c r="BN80" s="75" t="s">
        <v>2</v>
      </c>
      <c r="BO80" s="72">
        <v>571.79999999999995</v>
      </c>
      <c r="BP80" s="72">
        <v>487.71</v>
      </c>
      <c r="BQ80" s="75" t="s">
        <v>11</v>
      </c>
      <c r="BR80" s="72">
        <f>Table13[[#This Row],[Inhaler carbon footprint per inhaler in v2.37 (gCO2e) ]]-Table13[[#This Row],[Inhaler carbon footprint per inhaler in v2.36 (gCO2e) ]]</f>
        <v>-84.089999999999975</v>
      </c>
      <c r="BS80" s="72">
        <f>Table13[[#This Row],[Inhaler carbon footprint per inhaler in v2.37 (gCO2e) ]]-Table13[[#This Row],[Inhaler carbon footprint per inhaler in v2.36 (gCO2e) ]]</f>
        <v>-84.089999999999975</v>
      </c>
    </row>
    <row r="81" spans="1:71" ht="207" x14ac:dyDescent="0.25">
      <c r="A81" s="69" t="s">
        <v>346</v>
      </c>
      <c r="B81" s="69" t="s">
        <v>82</v>
      </c>
      <c r="C81" s="69" t="s">
        <v>758</v>
      </c>
      <c r="D81" s="69" t="s">
        <v>5</v>
      </c>
      <c r="E81" s="69" t="s">
        <v>6</v>
      </c>
      <c r="F81" s="69" t="s">
        <v>3</v>
      </c>
      <c r="G81" s="69">
        <v>60</v>
      </c>
      <c r="H81" s="70">
        <v>26.99</v>
      </c>
      <c r="I81" s="70">
        <f t="shared" si="3"/>
        <v>0.44983333333333331</v>
      </c>
      <c r="J81" s="69" t="s">
        <v>26</v>
      </c>
      <c r="K81" s="69" t="s">
        <v>26</v>
      </c>
      <c r="L81" s="69" t="s">
        <v>8</v>
      </c>
      <c r="M81" s="69" t="s">
        <v>8</v>
      </c>
      <c r="N81" s="69" t="s">
        <v>2</v>
      </c>
      <c r="O81" s="69" t="s">
        <v>2</v>
      </c>
      <c r="P81" s="69" t="s">
        <v>2</v>
      </c>
      <c r="Q81" s="75" t="s">
        <v>2</v>
      </c>
      <c r="R81" s="69" t="s">
        <v>2</v>
      </c>
      <c r="S81" s="69" t="s">
        <v>2</v>
      </c>
      <c r="T81" s="69" t="s">
        <v>700</v>
      </c>
      <c r="U81" s="69" t="s">
        <v>2</v>
      </c>
      <c r="V81" s="69" t="s">
        <v>2</v>
      </c>
      <c r="W81" s="70" t="s">
        <v>2</v>
      </c>
      <c r="X81" s="70" t="s">
        <v>2</v>
      </c>
      <c r="Y81" s="75" t="s">
        <v>720</v>
      </c>
      <c r="Z81" s="69" t="s">
        <v>79</v>
      </c>
      <c r="AA81" s="69" t="s">
        <v>845</v>
      </c>
      <c r="AB81" s="69" t="s">
        <v>867</v>
      </c>
      <c r="AC81" s="69" t="s">
        <v>863</v>
      </c>
      <c r="AD81" s="72">
        <v>487.71</v>
      </c>
      <c r="AE81" s="75" t="s">
        <v>9</v>
      </c>
      <c r="AF81" s="75" t="s">
        <v>34</v>
      </c>
      <c r="AG81" s="75" t="s">
        <v>809</v>
      </c>
      <c r="AH81" s="75" t="s">
        <v>34</v>
      </c>
      <c r="AI81" s="75" t="s">
        <v>809</v>
      </c>
      <c r="AJ81" s="72" t="str">
        <f>IF(Table13[[#This Row],[Indicative carbon footprint /inhaler (gCO2e) 7,8]]&gt;1796,"High","Low")</f>
        <v>Low</v>
      </c>
      <c r="AK81" s="72" t="s">
        <v>587</v>
      </c>
      <c r="AL81" s="100" t="s">
        <v>851</v>
      </c>
      <c r="AM81" s="99" t="s">
        <v>852</v>
      </c>
      <c r="AN81" s="69" t="s">
        <v>2</v>
      </c>
      <c r="AO81" s="69" t="s">
        <v>2</v>
      </c>
      <c r="AP81" s="69" t="s">
        <v>2</v>
      </c>
      <c r="AQ81" s="69" t="s">
        <v>2</v>
      </c>
      <c r="AR81" s="74" t="s">
        <v>139</v>
      </c>
      <c r="AS81" s="101" t="s">
        <v>34</v>
      </c>
      <c r="AT81" s="69" t="s">
        <v>857</v>
      </c>
      <c r="AU81" s="82">
        <v>242.7</v>
      </c>
      <c r="AV81" s="82">
        <v>171.08</v>
      </c>
      <c r="AW81" s="69" t="s">
        <v>46</v>
      </c>
      <c r="AX81" s="82">
        <v>10.71</v>
      </c>
      <c r="AY81" s="69" t="s">
        <v>46</v>
      </c>
      <c r="AZ81" s="69" t="s">
        <v>46</v>
      </c>
      <c r="BA81" s="82" t="s">
        <v>46</v>
      </c>
      <c r="BB81" s="82">
        <v>7.97</v>
      </c>
      <c r="BC81" s="82">
        <v>0</v>
      </c>
      <c r="BD81" s="82">
        <v>55.31</v>
      </c>
      <c r="BE81" s="69" t="s">
        <v>46</v>
      </c>
      <c r="BF81" s="69" t="s">
        <v>2</v>
      </c>
      <c r="BG81" s="69" t="s">
        <v>2</v>
      </c>
      <c r="BH81" s="69" t="s">
        <v>2</v>
      </c>
      <c r="BI81" s="69" t="s">
        <v>2</v>
      </c>
      <c r="BJ81" s="69" t="s">
        <v>2</v>
      </c>
      <c r="BK81" s="69" t="s">
        <v>2</v>
      </c>
      <c r="BL81" s="69" t="s">
        <v>853</v>
      </c>
      <c r="BM81" s="75" t="s">
        <v>11</v>
      </c>
      <c r="BN81" s="75" t="s">
        <v>2</v>
      </c>
      <c r="BO81" s="72">
        <v>571.79999999999995</v>
      </c>
      <c r="BP81" s="72">
        <v>487.71</v>
      </c>
      <c r="BQ81" s="75" t="s">
        <v>11</v>
      </c>
      <c r="BR81" s="72">
        <f>Table13[[#This Row],[Inhaler carbon footprint per inhaler in v2.37 (gCO2e) ]]-Table13[[#This Row],[Inhaler carbon footprint per inhaler in v2.36 (gCO2e) ]]</f>
        <v>-84.089999999999975</v>
      </c>
      <c r="BS81" s="72">
        <f>Table13[[#This Row],[Inhaler carbon footprint per inhaler in v2.37 (gCO2e) ]]-Table13[[#This Row],[Inhaler carbon footprint per inhaler in v2.36 (gCO2e) ]]</f>
        <v>-84.089999999999975</v>
      </c>
    </row>
    <row r="82" spans="1:71" ht="330" x14ac:dyDescent="0.25">
      <c r="A82" s="69" t="s">
        <v>140</v>
      </c>
      <c r="B82" s="69" t="s">
        <v>30</v>
      </c>
      <c r="C82" s="69" t="s">
        <v>397</v>
      </c>
      <c r="D82" s="69" t="s">
        <v>32</v>
      </c>
      <c r="E82" s="69" t="s">
        <v>92</v>
      </c>
      <c r="F82" s="69" t="s">
        <v>3</v>
      </c>
      <c r="G82" s="69">
        <v>30</v>
      </c>
      <c r="H82" s="70">
        <v>27.5</v>
      </c>
      <c r="I82" s="70">
        <f t="shared" si="3"/>
        <v>0.91666666666666663</v>
      </c>
      <c r="J82" s="69" t="s">
        <v>7</v>
      </c>
      <c r="K82" s="69" t="s">
        <v>7</v>
      </c>
      <c r="L82" s="69" t="s">
        <v>2</v>
      </c>
      <c r="M82" s="75" t="s">
        <v>8</v>
      </c>
      <c r="N82" s="75" t="s">
        <v>2</v>
      </c>
      <c r="O82" s="75" t="s">
        <v>2</v>
      </c>
      <c r="P82" s="75" t="s">
        <v>2</v>
      </c>
      <c r="Q82" s="75" t="s">
        <v>2</v>
      </c>
      <c r="R82" s="75" t="s">
        <v>2</v>
      </c>
      <c r="S82" s="75" t="s">
        <v>2</v>
      </c>
      <c r="T82" s="75" t="s">
        <v>2</v>
      </c>
      <c r="U82" s="75" t="s">
        <v>2</v>
      </c>
      <c r="V82" s="75" t="s">
        <v>2</v>
      </c>
      <c r="W82" s="70" t="s">
        <v>2</v>
      </c>
      <c r="X82" s="70" t="s">
        <v>2</v>
      </c>
      <c r="Y82" s="75" t="s">
        <v>2</v>
      </c>
      <c r="Z82" s="69" t="s">
        <v>79</v>
      </c>
      <c r="AA82" s="69" t="s">
        <v>714</v>
      </c>
      <c r="AB82" s="69" t="s">
        <v>909</v>
      </c>
      <c r="AC82" s="69" t="s">
        <v>910</v>
      </c>
      <c r="AD82" s="72">
        <v>731</v>
      </c>
      <c r="AE82" s="75" t="s">
        <v>9</v>
      </c>
      <c r="AF82" s="75" t="s">
        <v>46</v>
      </c>
      <c r="AG82" s="75" t="s">
        <v>46</v>
      </c>
      <c r="AH82" s="75" t="s">
        <v>46</v>
      </c>
      <c r="AI82" s="75" t="s">
        <v>46</v>
      </c>
      <c r="AJ82" s="72" t="str">
        <f>IF(Table13[[#This Row],[Indicative carbon footprint /inhaler (gCO2e) 7,8]]&gt;1796,"High","Low")</f>
        <v>Low</v>
      </c>
      <c r="AK82" s="75" t="s">
        <v>46</v>
      </c>
      <c r="AL82" s="72" t="s">
        <v>46</v>
      </c>
      <c r="AM82" s="69"/>
      <c r="AN82" s="69" t="s">
        <v>2</v>
      </c>
      <c r="AO82" s="69" t="s">
        <v>2</v>
      </c>
      <c r="AP82" s="69" t="s">
        <v>2</v>
      </c>
      <c r="AQ82" s="69" t="s">
        <v>2</v>
      </c>
      <c r="AR82" s="74" t="s">
        <v>141</v>
      </c>
      <c r="AS82" s="69" t="s">
        <v>34</v>
      </c>
      <c r="AT82" s="69" t="s">
        <v>35</v>
      </c>
      <c r="AU82" s="69">
        <v>8</v>
      </c>
      <c r="AV82" s="69">
        <v>235</v>
      </c>
      <c r="AW82" s="69" t="s">
        <v>422</v>
      </c>
      <c r="AX82" s="69" t="s">
        <v>272</v>
      </c>
      <c r="AY82" s="69">
        <v>348</v>
      </c>
      <c r="AZ82" s="69" t="s">
        <v>423</v>
      </c>
      <c r="BA82" s="69" t="s">
        <v>423</v>
      </c>
      <c r="BB82" s="69">
        <v>28</v>
      </c>
      <c r="BC82" s="69">
        <v>60</v>
      </c>
      <c r="BD82" s="69">
        <v>52</v>
      </c>
      <c r="BE82" s="69" t="s">
        <v>46</v>
      </c>
      <c r="BF82" s="69" t="s">
        <v>2</v>
      </c>
      <c r="BG82" s="69" t="s">
        <v>2</v>
      </c>
      <c r="BH82" s="69" t="s">
        <v>2</v>
      </c>
      <c r="BI82" s="69" t="s">
        <v>2</v>
      </c>
      <c r="BJ82" s="69" t="s">
        <v>2</v>
      </c>
      <c r="BK82" s="69" t="s">
        <v>2</v>
      </c>
      <c r="BL82" s="69" t="s">
        <v>36</v>
      </c>
      <c r="BM82" s="75" t="s">
        <v>843</v>
      </c>
      <c r="BN82" s="75" t="s">
        <v>2</v>
      </c>
      <c r="BO82" s="72">
        <v>731</v>
      </c>
      <c r="BP82" s="72">
        <v>731</v>
      </c>
      <c r="BQ82" s="75" t="s">
        <v>34</v>
      </c>
      <c r="BR82" s="72">
        <f>Table13[[#This Row],[Inhaler carbon footprint per inhaler in v2.37 (gCO2e) ]]-Table13[[#This Row],[Inhaler carbon footprint per inhaler in v2.36 (gCO2e) ]]</f>
        <v>0</v>
      </c>
      <c r="BS82" s="72" t="s">
        <v>809</v>
      </c>
    </row>
    <row r="83" spans="1:71" ht="210" x14ac:dyDescent="0.25">
      <c r="A83" s="69" t="s">
        <v>142</v>
      </c>
      <c r="B83" s="69" t="s">
        <v>282</v>
      </c>
      <c r="C83" s="69" t="s">
        <v>407</v>
      </c>
      <c r="D83" s="69" t="s">
        <v>5</v>
      </c>
      <c r="E83" s="69" t="s">
        <v>48</v>
      </c>
      <c r="F83" s="69" t="s">
        <v>13</v>
      </c>
      <c r="G83" s="69">
        <v>200</v>
      </c>
      <c r="H83" s="70">
        <v>5.56</v>
      </c>
      <c r="I83" s="70">
        <f t="shared" si="3"/>
        <v>2.7799999999999998E-2</v>
      </c>
      <c r="J83" s="69" t="s">
        <v>57</v>
      </c>
      <c r="K83" s="69" t="s">
        <v>50</v>
      </c>
      <c r="L83" s="69" t="s">
        <v>2</v>
      </c>
      <c r="M83" s="75" t="s">
        <v>8</v>
      </c>
      <c r="N83" s="75" t="s">
        <v>2</v>
      </c>
      <c r="O83" s="75" t="s">
        <v>2</v>
      </c>
      <c r="P83" s="75" t="s">
        <v>2</v>
      </c>
      <c r="Q83" s="75" t="s">
        <v>2</v>
      </c>
      <c r="R83" s="75" t="s">
        <v>2</v>
      </c>
      <c r="S83" s="75" t="s">
        <v>2</v>
      </c>
      <c r="T83" s="75" t="s">
        <v>2</v>
      </c>
      <c r="U83" s="75" t="s">
        <v>2</v>
      </c>
      <c r="V83" s="75" t="s">
        <v>2</v>
      </c>
      <c r="W83" s="75" t="s">
        <v>2</v>
      </c>
      <c r="X83" s="75" t="s">
        <v>2</v>
      </c>
      <c r="Y83" s="75" t="s">
        <v>2</v>
      </c>
      <c r="Z83" s="69" t="s">
        <v>8</v>
      </c>
      <c r="AA83" s="69" t="s">
        <v>715</v>
      </c>
      <c r="AB83" s="69" t="s">
        <v>715</v>
      </c>
      <c r="AC83" s="69" t="s">
        <v>1065</v>
      </c>
      <c r="AD83" s="72">
        <f>Table13[[#This Row],[Carbon footprint per inhaler attributed to propellant PrescQIPP calculated as gCO2e (from PIL or as assigned in the methodology)11-13]]</f>
        <v>17632</v>
      </c>
      <c r="AE83" s="75" t="s">
        <v>1073</v>
      </c>
      <c r="AF83" s="75" t="s">
        <v>11</v>
      </c>
      <c r="AG83" s="75" t="s">
        <v>781</v>
      </c>
      <c r="AH83" s="75" t="s">
        <v>782</v>
      </c>
      <c r="AI83" s="75" t="s">
        <v>781</v>
      </c>
      <c r="AJ83" s="72" t="str">
        <f>IF(Table13[[#This Row],[Indicative carbon footprint /inhaler (gCO2e) 7,8]]&gt;1796,"High","Low")</f>
        <v>High</v>
      </c>
      <c r="AK83" s="72" t="s">
        <v>34</v>
      </c>
      <c r="AL83" s="72" t="s">
        <v>46</v>
      </c>
      <c r="AM83" s="69" t="s">
        <v>1073</v>
      </c>
      <c r="AN83" s="69" t="s">
        <v>177</v>
      </c>
      <c r="AO83" s="69" t="s">
        <v>46</v>
      </c>
      <c r="AP83" s="69" t="s">
        <v>46</v>
      </c>
      <c r="AQ83" s="72">
        <v>17632</v>
      </c>
      <c r="AR83" s="74" t="s">
        <v>143</v>
      </c>
      <c r="AS83" s="69" t="s">
        <v>34</v>
      </c>
      <c r="AT83" s="69" t="s">
        <v>46</v>
      </c>
      <c r="AU83" s="69" t="s">
        <v>46</v>
      </c>
      <c r="AV83" s="69" t="s">
        <v>46</v>
      </c>
      <c r="AW83" s="69" t="s">
        <v>46</v>
      </c>
      <c r="AX83" s="69" t="s">
        <v>46</v>
      </c>
      <c r="AY83" s="69" t="s">
        <v>46</v>
      </c>
      <c r="AZ83" s="69" t="s">
        <v>46</v>
      </c>
      <c r="BA83" s="69" t="s">
        <v>46</v>
      </c>
      <c r="BB83" s="69" t="s">
        <v>46</v>
      </c>
      <c r="BC83" s="69" t="s">
        <v>46</v>
      </c>
      <c r="BD83" s="69" t="s">
        <v>46</v>
      </c>
      <c r="BE83" s="69" t="s">
        <v>46</v>
      </c>
      <c r="BF83" s="69" t="s">
        <v>11</v>
      </c>
      <c r="BG83" s="69">
        <v>2028</v>
      </c>
      <c r="BH83" s="69" t="s">
        <v>68</v>
      </c>
      <c r="BI83" s="69" t="s">
        <v>34</v>
      </c>
      <c r="BJ83" s="69" t="s">
        <v>46</v>
      </c>
      <c r="BK83" s="69" t="s">
        <v>11</v>
      </c>
      <c r="BL83" s="69" t="s">
        <v>46</v>
      </c>
      <c r="BM83" s="75" t="s">
        <v>11</v>
      </c>
      <c r="BN83" s="75" t="s">
        <v>1068</v>
      </c>
      <c r="BO83" s="72">
        <v>14300</v>
      </c>
      <c r="BP83" s="72">
        <v>17632</v>
      </c>
      <c r="BQ83" s="75" t="s">
        <v>11</v>
      </c>
      <c r="BR83" s="72">
        <f>Table13[[#This Row],[Inhaler carbon footprint per inhaler in v2.37 (gCO2e) ]]-Table13[[#This Row],[Inhaler carbon footprint per inhaler in v2.36 (gCO2e) ]]</f>
        <v>3332</v>
      </c>
      <c r="BS83" s="72">
        <f>Table13[[#This Row],[Inhaler carbon footprint per inhaler in v2.37 (gCO2e) ]]-Table13[[#This Row],[Inhaler carbon footprint per inhaler in v2.36 (gCO2e) ]]</f>
        <v>3332</v>
      </c>
    </row>
    <row r="84" spans="1:71" ht="405" x14ac:dyDescent="0.25">
      <c r="A84" s="69" t="s">
        <v>347</v>
      </c>
      <c r="B84" s="69" t="s">
        <v>145</v>
      </c>
      <c r="C84" s="69" t="s">
        <v>305</v>
      </c>
      <c r="D84" s="69" t="s">
        <v>12</v>
      </c>
      <c r="E84" s="69" t="s">
        <v>25</v>
      </c>
      <c r="F84" s="69" t="s">
        <v>13</v>
      </c>
      <c r="G84" s="69">
        <v>200</v>
      </c>
      <c r="H84" s="70">
        <v>5.2</v>
      </c>
      <c r="I84" s="70">
        <f t="shared" si="3"/>
        <v>2.6000000000000002E-2</v>
      </c>
      <c r="J84" s="69" t="s">
        <v>7</v>
      </c>
      <c r="K84" s="69" t="s">
        <v>7</v>
      </c>
      <c r="L84" s="69" t="s">
        <v>2</v>
      </c>
      <c r="M84" s="75" t="s">
        <v>8</v>
      </c>
      <c r="N84" s="75" t="s">
        <v>2</v>
      </c>
      <c r="O84" s="75" t="s">
        <v>700</v>
      </c>
      <c r="P84" s="75" t="s">
        <v>699</v>
      </c>
      <c r="Q84" s="75" t="s">
        <v>705</v>
      </c>
      <c r="R84" s="75" t="s">
        <v>2</v>
      </c>
      <c r="S84" s="75" t="s">
        <v>2</v>
      </c>
      <c r="T84" s="75" t="s">
        <v>2</v>
      </c>
      <c r="U84" s="75" t="s">
        <v>2</v>
      </c>
      <c r="V84" s="75" t="s">
        <v>2</v>
      </c>
      <c r="W84" s="75" t="s">
        <v>2</v>
      </c>
      <c r="X84" s="75" t="s">
        <v>2</v>
      </c>
      <c r="Y84" s="75" t="s">
        <v>717</v>
      </c>
      <c r="Z84" s="69" t="s">
        <v>79</v>
      </c>
      <c r="AA84" s="69" t="s">
        <v>714</v>
      </c>
      <c r="AB84" s="69" t="s">
        <v>714</v>
      </c>
      <c r="AC84" s="69" t="s">
        <v>875</v>
      </c>
      <c r="AD84" s="72">
        <f>Table13[[#This Row],[Carbon footprint per inhaler attributed to propellant PrescQIPP calculated as gCO2e (from PIL or as assigned in the methodology)11-13]]</f>
        <v>19019</v>
      </c>
      <c r="AE84" s="75" t="s">
        <v>530</v>
      </c>
      <c r="AF84" s="75" t="s">
        <v>46</v>
      </c>
      <c r="AG84" s="75" t="s">
        <v>46</v>
      </c>
      <c r="AH84" s="75" t="s">
        <v>46</v>
      </c>
      <c r="AI84" s="75" t="s">
        <v>46</v>
      </c>
      <c r="AJ84" s="72" t="str">
        <f>IF(Table13[[#This Row],[Indicative carbon footprint /inhaler (gCO2e) 7,8]]&gt;1796,"High","Low")</f>
        <v>High</v>
      </c>
      <c r="AK84" s="75" t="s">
        <v>46</v>
      </c>
      <c r="AL84" s="72" t="s">
        <v>46</v>
      </c>
      <c r="AM84" s="69" t="s">
        <v>146</v>
      </c>
      <c r="AN84" s="69" t="s">
        <v>177</v>
      </c>
      <c r="AO84" s="69">
        <v>13.3</v>
      </c>
      <c r="AP84" s="69">
        <v>1.9E-2</v>
      </c>
      <c r="AQ84" s="72">
        <f>1430*Table13[[#This Row],[Amount of propellant per inhaler (from PIL) (g)12-13]]</f>
        <v>19019</v>
      </c>
      <c r="AR84" s="74" t="s">
        <v>147</v>
      </c>
      <c r="AS84" s="101" t="s">
        <v>34</v>
      </c>
      <c r="AT84" s="69" t="s">
        <v>490</v>
      </c>
      <c r="AU84" s="69" t="s">
        <v>46</v>
      </c>
      <c r="AV84" s="69" t="s">
        <v>46</v>
      </c>
      <c r="AW84" s="69" t="s">
        <v>46</v>
      </c>
      <c r="AX84" s="69" t="s">
        <v>46</v>
      </c>
      <c r="AY84" s="69" t="s">
        <v>450</v>
      </c>
      <c r="AZ84" s="69" t="s">
        <v>451</v>
      </c>
      <c r="BA84" s="69" t="s">
        <v>452</v>
      </c>
      <c r="BB84" s="69" t="s">
        <v>46</v>
      </c>
      <c r="BC84" s="69" t="s">
        <v>454</v>
      </c>
      <c r="BD84" s="69" t="s">
        <v>149</v>
      </c>
      <c r="BE84" s="69" t="s">
        <v>46</v>
      </c>
      <c r="BF84" s="69" t="s">
        <v>11</v>
      </c>
      <c r="BG84" s="69" t="s">
        <v>46</v>
      </c>
      <c r="BH84" s="69" t="s">
        <v>46</v>
      </c>
      <c r="BI84" s="69" t="s">
        <v>46</v>
      </c>
      <c r="BJ84" s="69" t="s">
        <v>46</v>
      </c>
      <c r="BK84" s="69" t="s">
        <v>46</v>
      </c>
      <c r="BL84" s="69" t="s">
        <v>150</v>
      </c>
      <c r="BM84" s="75" t="s">
        <v>843</v>
      </c>
      <c r="BN84" s="75" t="s">
        <v>877</v>
      </c>
      <c r="BO84" s="72">
        <v>17368</v>
      </c>
      <c r="BP84" s="72">
        <v>19019</v>
      </c>
      <c r="BQ84" s="75" t="s">
        <v>11</v>
      </c>
      <c r="BR84" s="72">
        <f>Table13[[#This Row],[Inhaler carbon footprint per inhaler in v2.37 (gCO2e) ]]-Table13[[#This Row],[Inhaler carbon footprint per inhaler in v2.36 (gCO2e) ]]</f>
        <v>1651</v>
      </c>
      <c r="BS84" s="72">
        <f>Table13[[#This Row],[Inhaler carbon footprint per inhaler in v2.37 (gCO2e) ]]-Table13[[#This Row],[Inhaler carbon footprint per inhaler in v2.36 (gCO2e) ]]</f>
        <v>1651</v>
      </c>
    </row>
    <row r="85" spans="1:71" ht="405" x14ac:dyDescent="0.25">
      <c r="A85" s="69" t="s">
        <v>348</v>
      </c>
      <c r="B85" s="69" t="s">
        <v>145</v>
      </c>
      <c r="C85" s="69" t="s">
        <v>311</v>
      </c>
      <c r="D85" s="69" t="s">
        <v>12</v>
      </c>
      <c r="E85" s="69" t="s">
        <v>25</v>
      </c>
      <c r="F85" s="69" t="s">
        <v>13</v>
      </c>
      <c r="G85" s="69">
        <v>200</v>
      </c>
      <c r="H85" s="70">
        <v>5.2</v>
      </c>
      <c r="I85" s="70">
        <f t="shared" si="3"/>
        <v>2.6000000000000002E-2</v>
      </c>
      <c r="J85" s="69" t="s">
        <v>7</v>
      </c>
      <c r="K85" s="69" t="s">
        <v>7</v>
      </c>
      <c r="L85" s="69" t="s">
        <v>2</v>
      </c>
      <c r="M85" s="75" t="s">
        <v>8</v>
      </c>
      <c r="N85" s="75" t="s">
        <v>2</v>
      </c>
      <c r="O85" s="75" t="s">
        <v>701</v>
      </c>
      <c r="P85" s="75" t="s">
        <v>702</v>
      </c>
      <c r="Q85" s="75" t="s">
        <v>704</v>
      </c>
      <c r="R85" s="75" t="s">
        <v>2</v>
      </c>
      <c r="S85" s="75" t="s">
        <v>2</v>
      </c>
      <c r="T85" s="75" t="s">
        <v>2</v>
      </c>
      <c r="U85" s="75" t="s">
        <v>2</v>
      </c>
      <c r="V85" s="75" t="s">
        <v>2</v>
      </c>
      <c r="W85" s="75" t="s">
        <v>2</v>
      </c>
      <c r="X85" s="75" t="s">
        <v>2</v>
      </c>
      <c r="Y85" s="75" t="s">
        <v>717</v>
      </c>
      <c r="Z85" s="69" t="s">
        <v>79</v>
      </c>
      <c r="AA85" s="69" t="s">
        <v>714</v>
      </c>
      <c r="AB85" s="69" t="s">
        <v>714</v>
      </c>
      <c r="AC85" s="69" t="s">
        <v>875</v>
      </c>
      <c r="AD85" s="72">
        <f>Table13[[#This Row],[Carbon footprint per inhaler attributed to propellant PrescQIPP calculated as gCO2e (from PIL or as assigned in the methodology)11-13]]</f>
        <v>19162</v>
      </c>
      <c r="AE85" s="75" t="s">
        <v>530</v>
      </c>
      <c r="AF85" s="75" t="s">
        <v>46</v>
      </c>
      <c r="AG85" s="75" t="s">
        <v>46</v>
      </c>
      <c r="AH85" s="75" t="s">
        <v>46</v>
      </c>
      <c r="AI85" s="75" t="s">
        <v>46</v>
      </c>
      <c r="AJ85" s="72" t="str">
        <f>IF(Table13[[#This Row],[Indicative carbon footprint /inhaler (gCO2e) 7,8]]&gt;1796,"High","Low")</f>
        <v>High</v>
      </c>
      <c r="AK85" s="75" t="s">
        <v>46</v>
      </c>
      <c r="AL85" s="72" t="s">
        <v>46</v>
      </c>
      <c r="AM85" s="69" t="s">
        <v>146</v>
      </c>
      <c r="AN85" s="69" t="s">
        <v>177</v>
      </c>
      <c r="AO85" s="69">
        <v>13.4</v>
      </c>
      <c r="AP85" s="69">
        <v>1.9E-2</v>
      </c>
      <c r="AQ85" s="72">
        <f>1430*Table13[[#This Row],[Amount of propellant per inhaler (from PIL) (g)12-13]]</f>
        <v>19162</v>
      </c>
      <c r="AR85" s="74" t="s">
        <v>151</v>
      </c>
      <c r="AS85" s="101" t="s">
        <v>34</v>
      </c>
      <c r="AT85" s="69" t="s">
        <v>490</v>
      </c>
      <c r="AU85" s="69" t="s">
        <v>46</v>
      </c>
      <c r="AV85" s="69" t="s">
        <v>46</v>
      </c>
      <c r="AW85" s="69" t="s">
        <v>46</v>
      </c>
      <c r="AX85" s="69" t="s">
        <v>46</v>
      </c>
      <c r="AY85" s="69" t="s">
        <v>148</v>
      </c>
      <c r="AZ85" s="69" t="s">
        <v>453</v>
      </c>
      <c r="BA85" s="69" t="s">
        <v>452</v>
      </c>
      <c r="BB85" s="69" t="s">
        <v>46</v>
      </c>
      <c r="BC85" s="69" t="s">
        <v>454</v>
      </c>
      <c r="BD85" s="69" t="s">
        <v>149</v>
      </c>
      <c r="BE85" s="69" t="s">
        <v>46</v>
      </c>
      <c r="BF85" s="69" t="s">
        <v>11</v>
      </c>
      <c r="BG85" s="69" t="s">
        <v>46</v>
      </c>
      <c r="BH85" s="69" t="s">
        <v>46</v>
      </c>
      <c r="BI85" s="69" t="s">
        <v>46</v>
      </c>
      <c r="BJ85" s="69" t="s">
        <v>46</v>
      </c>
      <c r="BK85" s="69" t="s">
        <v>46</v>
      </c>
      <c r="BL85" s="69" t="s">
        <v>150</v>
      </c>
      <c r="BM85" s="75" t="s">
        <v>843</v>
      </c>
      <c r="BN85" s="75" t="s">
        <v>877</v>
      </c>
      <c r="BO85" s="72">
        <v>17368</v>
      </c>
      <c r="BP85" s="72">
        <v>19162</v>
      </c>
      <c r="BQ85" s="75" t="s">
        <v>11</v>
      </c>
      <c r="BR85" s="72">
        <f>Table13[[#This Row],[Inhaler carbon footprint per inhaler in v2.37 (gCO2e) ]]-Table13[[#This Row],[Inhaler carbon footprint per inhaler in v2.36 (gCO2e) ]]</f>
        <v>1794</v>
      </c>
      <c r="BS85" s="72">
        <f>Table13[[#This Row],[Inhaler carbon footprint per inhaler in v2.37 (gCO2e) ]]-Table13[[#This Row],[Inhaler carbon footprint per inhaler in v2.36 (gCO2e) ]]</f>
        <v>1794</v>
      </c>
    </row>
    <row r="86" spans="1:71" ht="409.5" x14ac:dyDescent="0.25">
      <c r="A86" s="69" t="s">
        <v>542</v>
      </c>
      <c r="B86" s="69" t="s">
        <v>276</v>
      </c>
      <c r="C86" s="69" t="s">
        <v>755</v>
      </c>
      <c r="D86" s="69" t="s">
        <v>5</v>
      </c>
      <c r="E86" s="69" t="s">
        <v>6</v>
      </c>
      <c r="F86" s="69" t="s">
        <v>13</v>
      </c>
      <c r="G86" s="69">
        <v>120</v>
      </c>
      <c r="H86" s="70">
        <v>13.98</v>
      </c>
      <c r="I86" s="70">
        <f t="shared" si="3"/>
        <v>0.11650000000000001</v>
      </c>
      <c r="J86" s="69" t="s">
        <v>7</v>
      </c>
      <c r="K86" s="69" t="s">
        <v>7</v>
      </c>
      <c r="L86" s="69" t="s">
        <v>79</v>
      </c>
      <c r="M86" s="69" t="s">
        <v>8</v>
      </c>
      <c r="N86" s="69" t="s">
        <v>2</v>
      </c>
      <c r="O86" s="69" t="s">
        <v>2</v>
      </c>
      <c r="P86" s="69" t="s">
        <v>2</v>
      </c>
      <c r="Q86" s="75" t="s">
        <v>2</v>
      </c>
      <c r="R86" s="69" t="s">
        <v>700</v>
      </c>
      <c r="S86" s="69" t="s">
        <v>699</v>
      </c>
      <c r="T86" s="69" t="s">
        <v>2</v>
      </c>
      <c r="U86" s="95" t="s">
        <v>1132</v>
      </c>
      <c r="V86" s="95" t="s">
        <v>1131</v>
      </c>
      <c r="W86" s="70">
        <v>9.7859999999999996</v>
      </c>
      <c r="X86" s="70">
        <v>16.309999999999999</v>
      </c>
      <c r="Y86" s="70" t="s">
        <v>717</v>
      </c>
      <c r="Z86" s="69" t="s">
        <v>79</v>
      </c>
      <c r="AA86" s="69" t="s">
        <v>825</v>
      </c>
      <c r="AB86" s="69" t="s">
        <v>824</v>
      </c>
      <c r="AC86" s="69" t="s">
        <v>823</v>
      </c>
      <c r="AD86" s="72">
        <f>Table13[[#This Row],[Carbon footprint per inhaler attributed to propellant PrescQIPP calculated as gCO2e (from PIL or as assigned in the methodology)11-13]]</f>
        <v>11611.599999999999</v>
      </c>
      <c r="AE86" s="75" t="s">
        <v>530</v>
      </c>
      <c r="AF86" s="95" t="s">
        <v>34</v>
      </c>
      <c r="AG86" s="95" t="s">
        <v>46</v>
      </c>
      <c r="AH86" s="95" t="s">
        <v>46</v>
      </c>
      <c r="AI86" s="95" t="s">
        <v>46</v>
      </c>
      <c r="AJ86" s="72" t="str">
        <f>IF(Table13[[#This Row],[Indicative carbon footprint /inhaler (gCO2e) 7,8]]&gt;1796,"High","Low")</f>
        <v>High</v>
      </c>
      <c r="AK86" s="72" t="s">
        <v>587</v>
      </c>
      <c r="AL86" s="100" t="s">
        <v>832</v>
      </c>
      <c r="AM86" s="69" t="s">
        <v>602</v>
      </c>
      <c r="AN86" s="69" t="s">
        <v>177</v>
      </c>
      <c r="AO86" s="69">
        <v>8.1199999999999992</v>
      </c>
      <c r="AP86" s="69">
        <v>1.2E-2</v>
      </c>
      <c r="AQ86" s="72">
        <f>1430*Table13[[#This Row],[Amount of propellant per inhaler (from PIL) (g)12-13]]</f>
        <v>11611.599999999999</v>
      </c>
      <c r="AR86" s="74" t="s">
        <v>277</v>
      </c>
      <c r="AS86" s="69" t="s">
        <v>34</v>
      </c>
      <c r="AT86" s="94" t="s">
        <v>662</v>
      </c>
      <c r="AU86" s="69">
        <v>175.1</v>
      </c>
      <c r="AV86" s="69">
        <v>61.8</v>
      </c>
      <c r="AW86" s="69">
        <v>26.6</v>
      </c>
      <c r="AX86" s="69">
        <v>103.31</v>
      </c>
      <c r="AY86" s="69">
        <v>421.46</v>
      </c>
      <c r="AZ86" s="69" t="s">
        <v>46</v>
      </c>
      <c r="BA86" s="69" t="s">
        <v>46</v>
      </c>
      <c r="BB86" s="69">
        <v>9.64</v>
      </c>
      <c r="BC86" s="69">
        <v>7852.38</v>
      </c>
      <c r="BD86" s="69">
        <v>2765.69</v>
      </c>
      <c r="BE86" s="69" t="s">
        <v>46</v>
      </c>
      <c r="BF86" s="95" t="s">
        <v>11</v>
      </c>
      <c r="BG86" s="69" t="s">
        <v>834</v>
      </c>
      <c r="BH86" s="69" t="s">
        <v>801</v>
      </c>
      <c r="BI86" s="69" t="s">
        <v>34</v>
      </c>
      <c r="BJ86" s="69" t="s">
        <v>46</v>
      </c>
      <c r="BK86" s="69" t="s">
        <v>11</v>
      </c>
      <c r="BL86" s="69" t="s">
        <v>833</v>
      </c>
      <c r="BM86" s="75" t="s">
        <v>11</v>
      </c>
      <c r="BN86" s="75" t="s">
        <v>877</v>
      </c>
      <c r="BO86" s="72">
        <v>10555.999999999998</v>
      </c>
      <c r="BP86" s="72">
        <v>11611.599999999999</v>
      </c>
      <c r="BQ86" s="75" t="s">
        <v>11</v>
      </c>
      <c r="BR86" s="72">
        <f>Table13[[#This Row],[Inhaler carbon footprint per inhaler in v2.37 (gCO2e) ]]-Table13[[#This Row],[Inhaler carbon footprint per inhaler in v2.36 (gCO2e) ]]</f>
        <v>1055.6000000000004</v>
      </c>
      <c r="BS86" s="72">
        <v>-363.2</v>
      </c>
    </row>
    <row r="87" spans="1:71" ht="409.5" x14ac:dyDescent="0.25">
      <c r="A87" s="69" t="s">
        <v>616</v>
      </c>
      <c r="B87" s="69" t="s">
        <v>276</v>
      </c>
      <c r="C87" s="69" t="s">
        <v>756</v>
      </c>
      <c r="D87" s="69" t="s">
        <v>12</v>
      </c>
      <c r="E87" s="69" t="s">
        <v>6</v>
      </c>
      <c r="F87" s="69" t="s">
        <v>13</v>
      </c>
      <c r="G87" s="69">
        <v>120</v>
      </c>
      <c r="H87" s="70">
        <v>13.98</v>
      </c>
      <c r="I87" s="70">
        <f t="shared" si="3"/>
        <v>0.11650000000000001</v>
      </c>
      <c r="J87" s="69" t="s">
        <v>7</v>
      </c>
      <c r="K87" s="69" t="s">
        <v>7</v>
      </c>
      <c r="L87" s="69" t="s">
        <v>8</v>
      </c>
      <c r="M87" s="69" t="s">
        <v>8</v>
      </c>
      <c r="N87" s="69" t="s">
        <v>2</v>
      </c>
      <c r="O87" s="69" t="s">
        <v>2</v>
      </c>
      <c r="P87" s="69" t="s">
        <v>2</v>
      </c>
      <c r="Q87" s="75" t="s">
        <v>2</v>
      </c>
      <c r="R87" s="69" t="s">
        <v>2</v>
      </c>
      <c r="S87" s="69" t="s">
        <v>2</v>
      </c>
      <c r="T87" s="69" t="s">
        <v>699</v>
      </c>
      <c r="U87" s="69" t="s">
        <v>2</v>
      </c>
      <c r="V87" s="69" t="s">
        <v>2</v>
      </c>
      <c r="W87" s="69" t="s">
        <v>2</v>
      </c>
      <c r="X87" s="69" t="s">
        <v>2</v>
      </c>
      <c r="Y87" s="69" t="s">
        <v>717</v>
      </c>
      <c r="Z87" s="69" t="s">
        <v>79</v>
      </c>
      <c r="AA87" s="69" t="s">
        <v>825</v>
      </c>
      <c r="AB87" s="69" t="s">
        <v>824</v>
      </c>
      <c r="AC87" s="69" t="s">
        <v>823</v>
      </c>
      <c r="AD87" s="72">
        <f>Table13[[#This Row],[Carbon footprint per inhaler attributed to propellant PrescQIPP calculated as gCO2e (from PIL or as assigned in the methodology)11-13]]</f>
        <v>14717.56</v>
      </c>
      <c r="AE87" s="75" t="s">
        <v>530</v>
      </c>
      <c r="AF87" s="94" t="s">
        <v>34</v>
      </c>
      <c r="AG87" s="94" t="s">
        <v>46</v>
      </c>
      <c r="AH87" s="94" t="s">
        <v>46</v>
      </c>
      <c r="AI87" s="94" t="s">
        <v>46</v>
      </c>
      <c r="AJ87" s="72" t="str">
        <f>IF(Table13[[#This Row],[Indicative carbon footprint /inhaler (gCO2e) 7,8]]&gt;1796,"High","Low")</f>
        <v>High</v>
      </c>
      <c r="AK87" s="72" t="s">
        <v>587</v>
      </c>
      <c r="AL87" s="100" t="s">
        <v>832</v>
      </c>
      <c r="AM87" s="69" t="s">
        <v>602</v>
      </c>
      <c r="AN87" s="69" t="s">
        <v>177</v>
      </c>
      <c r="AO87" s="69">
        <v>10.292</v>
      </c>
      <c r="AP87" s="69">
        <v>1.4999999999999999E-2</v>
      </c>
      <c r="AQ87" s="72">
        <f>1430*Table13[[#This Row],[Amount of propellant per inhaler (from PIL) (g)12-13]]</f>
        <v>14717.56</v>
      </c>
      <c r="AR87" s="74" t="s">
        <v>617</v>
      </c>
      <c r="AS87" s="69" t="s">
        <v>34</v>
      </c>
      <c r="AT87" s="94" t="s">
        <v>662</v>
      </c>
      <c r="AU87" s="69">
        <v>237.68</v>
      </c>
      <c r="AV87" s="69">
        <v>61.77</v>
      </c>
      <c r="AW87" s="69">
        <v>26.58</v>
      </c>
      <c r="AX87" s="69">
        <v>103.31</v>
      </c>
      <c r="AY87" s="69">
        <v>421.46</v>
      </c>
      <c r="AZ87" s="69" t="s">
        <v>46</v>
      </c>
      <c r="BA87" s="69" t="s">
        <v>46</v>
      </c>
      <c r="BB87" s="69">
        <v>10.050000000000001</v>
      </c>
      <c r="BC87" s="69">
        <v>10116.34</v>
      </c>
      <c r="BD87" s="69">
        <v>3326.3</v>
      </c>
      <c r="BE87" s="69" t="s">
        <v>46</v>
      </c>
      <c r="BF87" s="95" t="s">
        <v>11</v>
      </c>
      <c r="BG87" s="69" t="s">
        <v>834</v>
      </c>
      <c r="BH87" s="69" t="s">
        <v>801</v>
      </c>
      <c r="BI87" s="69" t="s">
        <v>34</v>
      </c>
      <c r="BJ87" s="69" t="s">
        <v>46</v>
      </c>
      <c r="BK87" s="69" t="s">
        <v>11</v>
      </c>
      <c r="BL87" s="69" t="s">
        <v>833</v>
      </c>
      <c r="BM87" s="75" t="s">
        <v>11</v>
      </c>
      <c r="BN87" s="75" t="s">
        <v>877</v>
      </c>
      <c r="BO87" s="72">
        <v>13376.999999999998</v>
      </c>
      <c r="BP87" s="72">
        <v>14717.56</v>
      </c>
      <c r="BQ87" s="75" t="s">
        <v>11</v>
      </c>
      <c r="BR87" s="72">
        <f>Table13[[#This Row],[Inhaler carbon footprint per inhaler in v2.37 (gCO2e) ]]-Table13[[#This Row],[Inhaler carbon footprint per inhaler in v2.36 (gCO2e) ]]</f>
        <v>1340.5600000000013</v>
      </c>
      <c r="BS87" s="72" t="s">
        <v>1010</v>
      </c>
    </row>
    <row r="88" spans="1:71" ht="105" x14ac:dyDescent="0.25">
      <c r="A88" s="69" t="s">
        <v>349</v>
      </c>
      <c r="B88" s="69" t="s">
        <v>132</v>
      </c>
      <c r="C88" s="69" t="s">
        <v>399</v>
      </c>
      <c r="D88" s="69" t="s">
        <v>32</v>
      </c>
      <c r="E88" s="69" t="s">
        <v>44</v>
      </c>
      <c r="F88" s="69" t="s">
        <v>3</v>
      </c>
      <c r="G88" s="69">
        <v>30</v>
      </c>
      <c r="H88" s="70">
        <v>32.19</v>
      </c>
      <c r="I88" s="70">
        <f t="shared" si="3"/>
        <v>1.073</v>
      </c>
      <c r="J88" s="69" t="s">
        <v>7</v>
      </c>
      <c r="K88" s="69" t="s">
        <v>7</v>
      </c>
      <c r="L88" s="69" t="s">
        <v>2</v>
      </c>
      <c r="M88" s="75" t="s">
        <v>8</v>
      </c>
      <c r="N88" s="75" t="s">
        <v>2</v>
      </c>
      <c r="O88" s="75" t="s">
        <v>2</v>
      </c>
      <c r="P88" s="75" t="s">
        <v>2</v>
      </c>
      <c r="Q88" s="75" t="s">
        <v>2</v>
      </c>
      <c r="R88" s="75" t="s">
        <v>2</v>
      </c>
      <c r="S88" s="75" t="s">
        <v>2</v>
      </c>
      <c r="T88" s="75" t="s">
        <v>2</v>
      </c>
      <c r="U88" s="75" t="s">
        <v>2</v>
      </c>
      <c r="V88" s="75" t="s">
        <v>2</v>
      </c>
      <c r="W88" s="75" t="s">
        <v>2</v>
      </c>
      <c r="X88" s="75" t="s">
        <v>2</v>
      </c>
      <c r="Y88" s="75" t="s">
        <v>2</v>
      </c>
      <c r="Z88" s="69" t="s">
        <v>2</v>
      </c>
      <c r="AA88" s="69" t="s">
        <v>729</v>
      </c>
      <c r="AB88" s="69" t="s">
        <v>729</v>
      </c>
      <c r="AC88" s="69" t="s">
        <v>840</v>
      </c>
      <c r="AD88" s="72">
        <v>667</v>
      </c>
      <c r="AE88" s="75" t="s">
        <v>964</v>
      </c>
      <c r="AF88" s="75" t="s">
        <v>2</v>
      </c>
      <c r="AG88" s="75" t="s">
        <v>2</v>
      </c>
      <c r="AH88" s="75" t="s">
        <v>2</v>
      </c>
      <c r="AI88" s="75" t="s">
        <v>2</v>
      </c>
      <c r="AJ88" s="72" t="str">
        <f>IF(Table13[[#This Row],[Indicative carbon footprint /inhaler (gCO2e) 7,8]]&gt;1796,"High","Low")</f>
        <v>Low</v>
      </c>
      <c r="AK88" s="72" t="s">
        <v>46</v>
      </c>
      <c r="AL88" s="72" t="s">
        <v>46</v>
      </c>
      <c r="AM88" s="69"/>
      <c r="AN88" s="69" t="s">
        <v>2</v>
      </c>
      <c r="AO88" s="69" t="s">
        <v>2</v>
      </c>
      <c r="AP88" s="69" t="s">
        <v>2</v>
      </c>
      <c r="AQ88" s="69" t="s">
        <v>2</v>
      </c>
      <c r="AR88" s="74" t="s">
        <v>152</v>
      </c>
      <c r="AS88" s="69" t="s">
        <v>34</v>
      </c>
      <c r="AT88" s="69" t="s">
        <v>46</v>
      </c>
      <c r="AU88" s="69" t="s">
        <v>46</v>
      </c>
      <c r="AV88" s="69" t="s">
        <v>46</v>
      </c>
      <c r="AW88" s="69" t="s">
        <v>46</v>
      </c>
      <c r="AX88" s="69" t="s">
        <v>46</v>
      </c>
      <c r="AY88" s="69" t="s">
        <v>46</v>
      </c>
      <c r="AZ88" s="69" t="s">
        <v>46</v>
      </c>
      <c r="BA88" s="69" t="s">
        <v>46</v>
      </c>
      <c r="BB88" s="69" t="s">
        <v>46</v>
      </c>
      <c r="BC88" s="69" t="s">
        <v>46</v>
      </c>
      <c r="BD88" s="69" t="s">
        <v>46</v>
      </c>
      <c r="BE88" s="69" t="s">
        <v>46</v>
      </c>
      <c r="BF88" s="69" t="s">
        <v>2</v>
      </c>
      <c r="BG88" s="69" t="s">
        <v>2</v>
      </c>
      <c r="BH88" s="69" t="s">
        <v>2</v>
      </c>
      <c r="BI88" s="69" t="s">
        <v>2</v>
      </c>
      <c r="BJ88" s="69" t="s">
        <v>2</v>
      </c>
      <c r="BK88" s="69" t="s">
        <v>2</v>
      </c>
      <c r="BL88" s="69" t="s">
        <v>46</v>
      </c>
      <c r="BM88" s="75" t="s">
        <v>11</v>
      </c>
      <c r="BN88" s="75" t="s">
        <v>2</v>
      </c>
      <c r="BO88" s="72">
        <v>562.5</v>
      </c>
      <c r="BP88" s="72">
        <v>667</v>
      </c>
      <c r="BQ88" s="75" t="s">
        <v>11</v>
      </c>
      <c r="BR88" s="72">
        <f>Table13[[#This Row],[Inhaler carbon footprint per inhaler in v2.37 (gCO2e) ]]-Table13[[#This Row],[Inhaler carbon footprint per inhaler in v2.36 (gCO2e) ]]</f>
        <v>104.5</v>
      </c>
      <c r="BS88" s="72">
        <f>Table13[[#This Row],[Inhaler carbon footprint per inhaler in v2.37 (gCO2e) ]]-Table13[[#This Row],[Inhaler carbon footprint per inhaler in v2.36 (gCO2e) ]]</f>
        <v>104.5</v>
      </c>
    </row>
    <row r="89" spans="1:71" ht="105" x14ac:dyDescent="0.25">
      <c r="A89" s="69" t="s">
        <v>350</v>
      </c>
      <c r="B89" s="69" t="s">
        <v>132</v>
      </c>
      <c r="C89" s="69" t="s">
        <v>398</v>
      </c>
      <c r="D89" s="69" t="s">
        <v>32</v>
      </c>
      <c r="E89" s="69" t="s">
        <v>44</v>
      </c>
      <c r="F89" s="69" t="s">
        <v>3</v>
      </c>
      <c r="G89" s="69">
        <v>30</v>
      </c>
      <c r="H89" s="70">
        <v>32.19</v>
      </c>
      <c r="I89" s="70">
        <f t="shared" si="3"/>
        <v>1.073</v>
      </c>
      <c r="J89" s="69" t="s">
        <v>7</v>
      </c>
      <c r="K89" s="69" t="s">
        <v>7</v>
      </c>
      <c r="L89" s="69" t="s">
        <v>2</v>
      </c>
      <c r="M89" s="75" t="s">
        <v>8</v>
      </c>
      <c r="N89" s="75" t="s">
        <v>2</v>
      </c>
      <c r="O89" s="75" t="s">
        <v>2</v>
      </c>
      <c r="P89" s="75" t="s">
        <v>2</v>
      </c>
      <c r="Q89" s="75" t="s">
        <v>2</v>
      </c>
      <c r="R89" s="75" t="s">
        <v>2</v>
      </c>
      <c r="S89" s="75" t="s">
        <v>2</v>
      </c>
      <c r="T89" s="75" t="s">
        <v>2</v>
      </c>
      <c r="U89" s="75" t="s">
        <v>2</v>
      </c>
      <c r="V89" s="75" t="s">
        <v>2</v>
      </c>
      <c r="W89" s="75" t="s">
        <v>2</v>
      </c>
      <c r="X89" s="75" t="s">
        <v>2</v>
      </c>
      <c r="Y89" s="75" t="s">
        <v>2</v>
      </c>
      <c r="Z89" s="69" t="s">
        <v>2</v>
      </c>
      <c r="AA89" s="69" t="s">
        <v>729</v>
      </c>
      <c r="AB89" s="69" t="s">
        <v>729</v>
      </c>
      <c r="AC89" s="69" t="s">
        <v>840</v>
      </c>
      <c r="AD89" s="72">
        <v>667</v>
      </c>
      <c r="AE89" s="75" t="s">
        <v>964</v>
      </c>
      <c r="AF89" s="75" t="s">
        <v>2</v>
      </c>
      <c r="AG89" s="75" t="s">
        <v>2</v>
      </c>
      <c r="AH89" s="75" t="s">
        <v>2</v>
      </c>
      <c r="AI89" s="75" t="s">
        <v>2</v>
      </c>
      <c r="AJ89" s="72" t="str">
        <f>IF(Table13[[#This Row],[Indicative carbon footprint /inhaler (gCO2e) 7,8]]&gt;1796,"High","Low")</f>
        <v>Low</v>
      </c>
      <c r="AK89" s="72" t="s">
        <v>46</v>
      </c>
      <c r="AL89" s="72" t="s">
        <v>46</v>
      </c>
      <c r="AM89" s="69"/>
      <c r="AN89" s="69" t="s">
        <v>2</v>
      </c>
      <c r="AO89" s="69" t="s">
        <v>2</v>
      </c>
      <c r="AP89" s="69" t="s">
        <v>2</v>
      </c>
      <c r="AQ89" s="69" t="s">
        <v>2</v>
      </c>
      <c r="AR89" s="74" t="s">
        <v>153</v>
      </c>
      <c r="AS89" s="69" t="s">
        <v>34</v>
      </c>
      <c r="AT89" s="69" t="s">
        <v>46</v>
      </c>
      <c r="AU89" s="69" t="s">
        <v>46</v>
      </c>
      <c r="AV89" s="69" t="s">
        <v>46</v>
      </c>
      <c r="AW89" s="69" t="s">
        <v>46</v>
      </c>
      <c r="AX89" s="69" t="s">
        <v>46</v>
      </c>
      <c r="AY89" s="69" t="s">
        <v>46</v>
      </c>
      <c r="AZ89" s="69" t="s">
        <v>46</v>
      </c>
      <c r="BA89" s="69" t="s">
        <v>46</v>
      </c>
      <c r="BB89" s="69" t="s">
        <v>46</v>
      </c>
      <c r="BC89" s="69" t="s">
        <v>46</v>
      </c>
      <c r="BD89" s="69" t="s">
        <v>46</v>
      </c>
      <c r="BE89" s="69" t="s">
        <v>46</v>
      </c>
      <c r="BF89" s="69" t="s">
        <v>2</v>
      </c>
      <c r="BG89" s="69" t="s">
        <v>2</v>
      </c>
      <c r="BH89" s="69" t="s">
        <v>2</v>
      </c>
      <c r="BI89" s="69" t="s">
        <v>2</v>
      </c>
      <c r="BJ89" s="69" t="s">
        <v>2</v>
      </c>
      <c r="BK89" s="69" t="s">
        <v>2</v>
      </c>
      <c r="BL89" s="69" t="s">
        <v>46</v>
      </c>
      <c r="BM89" s="75" t="s">
        <v>11</v>
      </c>
      <c r="BN89" s="75" t="s">
        <v>2</v>
      </c>
      <c r="BO89" s="72">
        <v>562.5</v>
      </c>
      <c r="BP89" s="72">
        <v>667</v>
      </c>
      <c r="BQ89" s="75" t="s">
        <v>11</v>
      </c>
      <c r="BR89" s="72">
        <f>Table13[[#This Row],[Inhaler carbon footprint per inhaler in v2.37 (gCO2e) ]]-Table13[[#This Row],[Inhaler carbon footprint per inhaler in v2.36 (gCO2e) ]]</f>
        <v>104.5</v>
      </c>
      <c r="BS89" s="72">
        <f>Table13[[#This Row],[Inhaler carbon footprint per inhaler in v2.37 (gCO2e) ]]-Table13[[#This Row],[Inhaler carbon footprint per inhaler in v2.36 (gCO2e) ]]</f>
        <v>104.5</v>
      </c>
    </row>
    <row r="90" spans="1:71" ht="180" x14ac:dyDescent="0.25">
      <c r="A90" s="69" t="s">
        <v>351</v>
      </c>
      <c r="B90" s="69" t="s">
        <v>24</v>
      </c>
      <c r="C90" s="69" t="s">
        <v>326</v>
      </c>
      <c r="D90" s="69" t="s">
        <v>5</v>
      </c>
      <c r="E90" s="69" t="s">
        <v>44</v>
      </c>
      <c r="F90" s="69" t="s">
        <v>3</v>
      </c>
      <c r="G90" s="69">
        <v>60</v>
      </c>
      <c r="H90" s="70">
        <v>24.8</v>
      </c>
      <c r="I90" s="70">
        <f t="shared" si="3"/>
        <v>0.41333333333333333</v>
      </c>
      <c r="J90" s="69" t="s">
        <v>57</v>
      </c>
      <c r="K90" s="69" t="s">
        <v>166</v>
      </c>
      <c r="L90" s="69" t="s">
        <v>2</v>
      </c>
      <c r="M90" s="75" t="s">
        <v>8</v>
      </c>
      <c r="N90" s="75" t="s">
        <v>2</v>
      </c>
      <c r="O90" s="75" t="s">
        <v>2</v>
      </c>
      <c r="P90" s="75" t="s">
        <v>2</v>
      </c>
      <c r="Q90" s="75" t="s">
        <v>2</v>
      </c>
      <c r="R90" s="75" t="s">
        <v>2</v>
      </c>
      <c r="S90" s="75" t="s">
        <v>2</v>
      </c>
      <c r="T90" s="75" t="s">
        <v>2</v>
      </c>
      <c r="U90" s="75" t="s">
        <v>2</v>
      </c>
      <c r="V90" s="75" t="s">
        <v>2</v>
      </c>
      <c r="W90" s="75" t="s">
        <v>2</v>
      </c>
      <c r="X90" s="75" t="s">
        <v>2</v>
      </c>
      <c r="Y90" s="75" t="s">
        <v>2</v>
      </c>
      <c r="Z90" s="69" t="s">
        <v>79</v>
      </c>
      <c r="AA90" s="69" t="s">
        <v>714</v>
      </c>
      <c r="AB90" s="69" t="s">
        <v>714</v>
      </c>
      <c r="AC90" s="99" t="s">
        <v>795</v>
      </c>
      <c r="AD90" s="72">
        <v>370.2</v>
      </c>
      <c r="AE90" s="75" t="s">
        <v>9</v>
      </c>
      <c r="AF90" s="75" t="s">
        <v>2</v>
      </c>
      <c r="AG90" s="94" t="s">
        <v>46</v>
      </c>
      <c r="AH90" s="94" t="s">
        <v>46</v>
      </c>
      <c r="AI90" s="94" t="s">
        <v>46</v>
      </c>
      <c r="AJ90" s="72" t="str">
        <f>IF(Table13[[#This Row],[Indicative carbon footprint /inhaler (gCO2e) 7,8]]&gt;1796,"High","Low")</f>
        <v>Low</v>
      </c>
      <c r="AK90" s="72" t="s">
        <v>46</v>
      </c>
      <c r="AL90" s="72" t="s">
        <v>46</v>
      </c>
      <c r="AM90" s="69"/>
      <c r="AN90" s="69" t="s">
        <v>2</v>
      </c>
      <c r="AO90" s="69" t="s">
        <v>2</v>
      </c>
      <c r="AP90" s="69" t="s">
        <v>2</v>
      </c>
      <c r="AQ90" s="69" t="s">
        <v>2</v>
      </c>
      <c r="AR90" s="74" t="s">
        <v>167</v>
      </c>
      <c r="AS90" s="69" t="s">
        <v>34</v>
      </c>
      <c r="AT90" s="69" t="s">
        <v>257</v>
      </c>
      <c r="AU90" s="69" t="s">
        <v>46</v>
      </c>
      <c r="AV90" s="69" t="s">
        <v>46</v>
      </c>
      <c r="AW90" s="69" t="s">
        <v>46</v>
      </c>
      <c r="AX90" s="69" t="s">
        <v>46</v>
      </c>
      <c r="AY90" s="69" t="s">
        <v>46</v>
      </c>
      <c r="AZ90" s="69" t="s">
        <v>46</v>
      </c>
      <c r="BA90" s="69" t="s">
        <v>46</v>
      </c>
      <c r="BB90" s="69" t="s">
        <v>46</v>
      </c>
      <c r="BC90" s="69" t="s">
        <v>46</v>
      </c>
      <c r="BD90" s="69" t="s">
        <v>46</v>
      </c>
      <c r="BE90" s="69" t="s">
        <v>46</v>
      </c>
      <c r="BF90" s="69" t="s">
        <v>2</v>
      </c>
      <c r="BG90" s="69" t="s">
        <v>2</v>
      </c>
      <c r="BH90" s="69" t="s">
        <v>2</v>
      </c>
      <c r="BI90" s="69" t="s">
        <v>2</v>
      </c>
      <c r="BJ90" s="69" t="s">
        <v>2</v>
      </c>
      <c r="BK90" s="69" t="s">
        <v>2</v>
      </c>
      <c r="BL90" s="69" t="s">
        <v>786</v>
      </c>
      <c r="BM90" s="75" t="s">
        <v>11</v>
      </c>
      <c r="BN90" s="75" t="s">
        <v>2</v>
      </c>
      <c r="BO90" s="72">
        <v>370.2</v>
      </c>
      <c r="BP90" s="72">
        <v>370.2</v>
      </c>
      <c r="BQ90" s="75" t="s">
        <v>34</v>
      </c>
      <c r="BR90" s="72">
        <f>Table13[[#This Row],[Inhaler carbon footprint per inhaler in v2.37 (gCO2e) ]]-Table13[[#This Row],[Inhaler carbon footprint per inhaler in v2.36 (gCO2e) ]]</f>
        <v>0</v>
      </c>
      <c r="BS90" s="72">
        <f>Table13[[#This Row],[Inhaler carbon footprint per inhaler in v2.37 (gCO2e) ]]-Table13[[#This Row],[Inhaler carbon footprint per inhaler in v2.36 (gCO2e) ]]</f>
        <v>0</v>
      </c>
    </row>
    <row r="91" spans="1:71" ht="180" x14ac:dyDescent="0.25">
      <c r="A91" s="69" t="s">
        <v>352</v>
      </c>
      <c r="B91" s="69" t="s">
        <v>24</v>
      </c>
      <c r="C91" s="69" t="s">
        <v>353</v>
      </c>
      <c r="D91" s="69" t="s">
        <v>5</v>
      </c>
      <c r="E91" s="69" t="s">
        <v>44</v>
      </c>
      <c r="F91" s="69" t="s">
        <v>3</v>
      </c>
      <c r="G91" s="69">
        <v>60</v>
      </c>
      <c r="H91" s="70">
        <v>24.8</v>
      </c>
      <c r="I91" s="70">
        <f t="shared" ref="I91" si="4">H91/G91</f>
        <v>0.41333333333333333</v>
      </c>
      <c r="J91" s="69" t="s">
        <v>57</v>
      </c>
      <c r="K91" s="69" t="s">
        <v>166</v>
      </c>
      <c r="L91" s="69" t="s">
        <v>2</v>
      </c>
      <c r="M91" s="75" t="s">
        <v>8</v>
      </c>
      <c r="N91" s="75" t="s">
        <v>2</v>
      </c>
      <c r="O91" s="75" t="s">
        <v>2</v>
      </c>
      <c r="P91" s="75" t="s">
        <v>2</v>
      </c>
      <c r="Q91" s="75" t="s">
        <v>2</v>
      </c>
      <c r="R91" s="75" t="s">
        <v>2</v>
      </c>
      <c r="S91" s="75" t="s">
        <v>2</v>
      </c>
      <c r="T91" s="75" t="s">
        <v>2</v>
      </c>
      <c r="U91" s="75" t="s">
        <v>2</v>
      </c>
      <c r="V91" s="75" t="s">
        <v>2</v>
      </c>
      <c r="W91" s="75" t="s">
        <v>2</v>
      </c>
      <c r="X91" s="75" t="s">
        <v>2</v>
      </c>
      <c r="Y91" s="75" t="s">
        <v>2</v>
      </c>
      <c r="Z91" s="69" t="s">
        <v>79</v>
      </c>
      <c r="AA91" s="69" t="s">
        <v>714</v>
      </c>
      <c r="AB91" s="69" t="s">
        <v>714</v>
      </c>
      <c r="AC91" s="69" t="s">
        <v>795</v>
      </c>
      <c r="AD91" s="72">
        <v>360</v>
      </c>
      <c r="AE91" s="75" t="s">
        <v>9</v>
      </c>
      <c r="AF91" s="75" t="s">
        <v>2</v>
      </c>
      <c r="AG91" s="94" t="s">
        <v>46</v>
      </c>
      <c r="AH91" s="94" t="s">
        <v>46</v>
      </c>
      <c r="AI91" s="94" t="s">
        <v>46</v>
      </c>
      <c r="AJ91" s="72" t="str">
        <f>IF(Table13[[#This Row],[Indicative carbon footprint /inhaler (gCO2e) 7,8]]&gt;1796,"High","Low")</f>
        <v>Low</v>
      </c>
      <c r="AK91" s="72" t="s">
        <v>46</v>
      </c>
      <c r="AL91" s="72" t="s">
        <v>46</v>
      </c>
      <c r="AM91" s="69"/>
      <c r="AN91" s="69" t="s">
        <v>2</v>
      </c>
      <c r="AO91" s="69" t="s">
        <v>2</v>
      </c>
      <c r="AP91" s="69" t="s">
        <v>2</v>
      </c>
      <c r="AQ91" s="69" t="s">
        <v>2</v>
      </c>
      <c r="AR91" s="74" t="s">
        <v>168</v>
      </c>
      <c r="AS91" s="69" t="s">
        <v>34</v>
      </c>
      <c r="AT91" s="69" t="s">
        <v>257</v>
      </c>
      <c r="AU91" s="69" t="s">
        <v>46</v>
      </c>
      <c r="AV91" s="69" t="s">
        <v>46</v>
      </c>
      <c r="AW91" s="69" t="s">
        <v>46</v>
      </c>
      <c r="AX91" s="69" t="s">
        <v>46</v>
      </c>
      <c r="AY91" s="69" t="s">
        <v>46</v>
      </c>
      <c r="AZ91" s="69" t="s">
        <v>46</v>
      </c>
      <c r="BA91" s="69" t="s">
        <v>46</v>
      </c>
      <c r="BB91" s="69" t="s">
        <v>46</v>
      </c>
      <c r="BC91" s="69" t="s">
        <v>46</v>
      </c>
      <c r="BD91" s="69" t="s">
        <v>46</v>
      </c>
      <c r="BE91" s="69" t="s">
        <v>46</v>
      </c>
      <c r="BF91" s="69" t="s">
        <v>2</v>
      </c>
      <c r="BG91" s="69" t="s">
        <v>2</v>
      </c>
      <c r="BH91" s="69" t="s">
        <v>2</v>
      </c>
      <c r="BI91" s="69" t="s">
        <v>2</v>
      </c>
      <c r="BJ91" s="69" t="s">
        <v>2</v>
      </c>
      <c r="BK91" s="69" t="s">
        <v>2</v>
      </c>
      <c r="BL91" s="69" t="s">
        <v>786</v>
      </c>
      <c r="BM91" s="75" t="s">
        <v>11</v>
      </c>
      <c r="BN91" s="75" t="s">
        <v>2</v>
      </c>
      <c r="BO91" s="72">
        <v>360</v>
      </c>
      <c r="BP91" s="72">
        <v>360</v>
      </c>
      <c r="BQ91" s="75" t="s">
        <v>34</v>
      </c>
      <c r="BR91" s="72">
        <f>Table13[[#This Row],[Inhaler carbon footprint per inhaler in v2.37 (gCO2e) ]]-Table13[[#This Row],[Inhaler carbon footprint per inhaler in v2.36 (gCO2e) ]]</f>
        <v>0</v>
      </c>
      <c r="BS91" s="72" t="s">
        <v>809</v>
      </c>
    </row>
    <row r="92" spans="1:71" ht="409.5" x14ac:dyDescent="0.25">
      <c r="A92" s="69" t="s">
        <v>738</v>
      </c>
      <c r="B92" s="69" t="s">
        <v>740</v>
      </c>
      <c r="C92" s="69" t="s">
        <v>755</v>
      </c>
      <c r="D92" s="69" t="s">
        <v>5</v>
      </c>
      <c r="E92" s="69" t="s">
        <v>6</v>
      </c>
      <c r="F92" s="69" t="s">
        <v>13</v>
      </c>
      <c r="G92" s="69">
        <v>120</v>
      </c>
      <c r="H92" s="70">
        <v>9.9</v>
      </c>
      <c r="I92" s="70">
        <f>Table13[[#This Row],[NHS cost per inhaler 1,5-7]]/Table13[[#This Row],[Doses per inhaler1,2]]</f>
        <v>8.2500000000000004E-2</v>
      </c>
      <c r="J92" s="69" t="s">
        <v>7</v>
      </c>
      <c r="K92" s="69" t="s">
        <v>7</v>
      </c>
      <c r="L92" s="69" t="s">
        <v>79</v>
      </c>
      <c r="M92" s="69" t="s">
        <v>8</v>
      </c>
      <c r="N92" s="69" t="s">
        <v>2</v>
      </c>
      <c r="O92" s="69" t="s">
        <v>2</v>
      </c>
      <c r="P92" s="69" t="s">
        <v>2</v>
      </c>
      <c r="Q92" s="75" t="s">
        <v>2</v>
      </c>
      <c r="R92" s="69" t="s">
        <v>700</v>
      </c>
      <c r="S92" s="69" t="s">
        <v>699</v>
      </c>
      <c r="T92" s="69" t="s">
        <v>2</v>
      </c>
      <c r="U92" s="95" t="s">
        <v>1132</v>
      </c>
      <c r="V92" s="95" t="s">
        <v>1131</v>
      </c>
      <c r="W92" s="96">
        <f>0.0825*28*3</f>
        <v>6.93</v>
      </c>
      <c r="X92" s="96">
        <f>0.0825*28*5</f>
        <v>11.55</v>
      </c>
      <c r="Y92" s="69" t="s">
        <v>717</v>
      </c>
      <c r="Z92" s="69" t="s">
        <v>79</v>
      </c>
      <c r="AA92" s="69" t="s">
        <v>825</v>
      </c>
      <c r="AB92" s="69" t="s">
        <v>824</v>
      </c>
      <c r="AC92" s="69" t="s">
        <v>823</v>
      </c>
      <c r="AD92" s="72">
        <f>Table13[[#This Row],[Carbon footprint per inhaler attributed to propellant PrescQIPP calculated as gCO2e (from PIL or as assigned in the methodology)11-13]]</f>
        <v>11654.5</v>
      </c>
      <c r="AE92" s="75" t="s">
        <v>530</v>
      </c>
      <c r="AF92" s="75" t="s">
        <v>46</v>
      </c>
      <c r="AG92" s="75" t="s">
        <v>46</v>
      </c>
      <c r="AH92" s="75" t="s">
        <v>46</v>
      </c>
      <c r="AI92" s="75" t="s">
        <v>46</v>
      </c>
      <c r="AJ92" s="72" t="str">
        <f>IF(Table13[[#This Row],[Indicative carbon footprint /inhaler (gCO2e) 7,8]]&gt;1796,"High","Low")</f>
        <v>High</v>
      </c>
      <c r="AK92" s="72" t="s">
        <v>46</v>
      </c>
      <c r="AL92" s="72" t="s">
        <v>46</v>
      </c>
      <c r="AM92" s="70" t="s">
        <v>747</v>
      </c>
      <c r="AN92" s="69" t="s">
        <v>177</v>
      </c>
      <c r="AO92" s="69">
        <v>8.15</v>
      </c>
      <c r="AP92" s="69">
        <v>1.2E-2</v>
      </c>
      <c r="AQ92" s="72">
        <f>1430*Table13[[#This Row],[Amount of propellant per inhaler (from PIL) (g)12-13]]</f>
        <v>11654.5</v>
      </c>
      <c r="AR92" s="74" t="s">
        <v>826</v>
      </c>
      <c r="AS92" s="69" t="s">
        <v>34</v>
      </c>
      <c r="AT92" s="69" t="s">
        <v>827</v>
      </c>
      <c r="AU92" s="69" t="s">
        <v>46</v>
      </c>
      <c r="AV92" s="69" t="s">
        <v>46</v>
      </c>
      <c r="AW92" s="69" t="s">
        <v>46</v>
      </c>
      <c r="AX92" s="69" t="s">
        <v>46</v>
      </c>
      <c r="AY92" s="69" t="s">
        <v>46</v>
      </c>
      <c r="AZ92" s="69" t="s">
        <v>46</v>
      </c>
      <c r="BA92" s="69" t="s">
        <v>46</v>
      </c>
      <c r="BB92" s="69" t="s">
        <v>46</v>
      </c>
      <c r="BC92" s="69" t="s">
        <v>46</v>
      </c>
      <c r="BD92" s="69" t="s">
        <v>46</v>
      </c>
      <c r="BE92" s="69" t="s">
        <v>46</v>
      </c>
      <c r="BF92" s="69" t="s">
        <v>46</v>
      </c>
      <c r="BG92" s="69" t="s">
        <v>46</v>
      </c>
      <c r="BH92" s="69" t="s">
        <v>46</v>
      </c>
      <c r="BI92" s="69" t="s">
        <v>46</v>
      </c>
      <c r="BJ92" s="69" t="s">
        <v>46</v>
      </c>
      <c r="BK92" s="69" t="s">
        <v>46</v>
      </c>
      <c r="BL92" s="69" t="s">
        <v>828</v>
      </c>
      <c r="BM92" s="75" t="s">
        <v>11</v>
      </c>
      <c r="BN92" s="75" t="s">
        <v>879</v>
      </c>
      <c r="BO92" s="72" t="s">
        <v>1083</v>
      </c>
      <c r="BP92" s="72">
        <v>11654.5</v>
      </c>
      <c r="BQ92" s="75" t="s">
        <v>11</v>
      </c>
      <c r="BR92" s="72" t="s">
        <v>1011</v>
      </c>
      <c r="BS92" s="72" t="s">
        <v>1010</v>
      </c>
    </row>
    <row r="93" spans="1:71" ht="409.5" x14ac:dyDescent="0.25">
      <c r="A93" s="69" t="s">
        <v>739</v>
      </c>
      <c r="B93" s="69" t="s">
        <v>740</v>
      </c>
      <c r="C93" s="69" t="s">
        <v>756</v>
      </c>
      <c r="D93" s="69" t="s">
        <v>12</v>
      </c>
      <c r="E93" s="69" t="s">
        <v>6</v>
      </c>
      <c r="F93" s="69" t="s">
        <v>13</v>
      </c>
      <c r="G93" s="69">
        <v>120</v>
      </c>
      <c r="H93" s="70">
        <v>9.9</v>
      </c>
      <c r="I93" s="70">
        <f>Table13[[#This Row],[NHS cost per inhaler 1,5-7]]/Table13[[#This Row],[Doses per inhaler1,2]]</f>
        <v>8.2500000000000004E-2</v>
      </c>
      <c r="J93" s="69" t="s">
        <v>7</v>
      </c>
      <c r="K93" s="69" t="s">
        <v>7</v>
      </c>
      <c r="L93" s="69" t="s">
        <v>8</v>
      </c>
      <c r="M93" s="75" t="s">
        <v>8</v>
      </c>
      <c r="N93" s="69" t="s">
        <v>2</v>
      </c>
      <c r="O93" s="69" t="s">
        <v>2</v>
      </c>
      <c r="P93" s="69" t="s">
        <v>2</v>
      </c>
      <c r="Q93" s="75" t="s">
        <v>2</v>
      </c>
      <c r="R93" s="69" t="s">
        <v>2</v>
      </c>
      <c r="S93" s="69" t="s">
        <v>2</v>
      </c>
      <c r="T93" s="75" t="s">
        <v>699</v>
      </c>
      <c r="U93" s="69" t="s">
        <v>2</v>
      </c>
      <c r="V93" s="69" t="s">
        <v>2</v>
      </c>
      <c r="W93" s="69" t="s">
        <v>2</v>
      </c>
      <c r="X93" s="69" t="s">
        <v>2</v>
      </c>
      <c r="Y93" s="69" t="s">
        <v>717</v>
      </c>
      <c r="Z93" s="69" t="s">
        <v>79</v>
      </c>
      <c r="AA93" s="69" t="s">
        <v>825</v>
      </c>
      <c r="AB93" s="69" t="s">
        <v>824</v>
      </c>
      <c r="AC93" s="69" t="s">
        <v>823</v>
      </c>
      <c r="AD93" s="72">
        <f>Table13[[#This Row],[Carbon footprint per inhaler attributed to propellant PrescQIPP calculated as gCO2e (from PIL or as assigned in the methodology)11-13]]</f>
        <v>14800.5</v>
      </c>
      <c r="AE93" s="75" t="s">
        <v>530</v>
      </c>
      <c r="AF93" s="75" t="s">
        <v>46</v>
      </c>
      <c r="AG93" s="75" t="s">
        <v>46</v>
      </c>
      <c r="AH93" s="75" t="s">
        <v>46</v>
      </c>
      <c r="AI93" s="75" t="s">
        <v>46</v>
      </c>
      <c r="AJ93" s="72" t="str">
        <f>IF(Table13[[#This Row],[Indicative carbon footprint /inhaler (gCO2e) 7,8]]&gt;1796,"High","Low")</f>
        <v>High</v>
      </c>
      <c r="AK93" s="75" t="s">
        <v>46</v>
      </c>
      <c r="AL93" s="72" t="s">
        <v>46</v>
      </c>
      <c r="AM93" s="70" t="s">
        <v>747</v>
      </c>
      <c r="AN93" s="69" t="s">
        <v>177</v>
      </c>
      <c r="AO93" s="69">
        <v>10.35</v>
      </c>
      <c r="AP93" s="69">
        <v>1.4999999999999999E-2</v>
      </c>
      <c r="AQ93" s="72">
        <f>1430*Table13[[#This Row],[Amount of propellant per inhaler (from PIL) (g)12-13]]</f>
        <v>14800.5</v>
      </c>
      <c r="AR93" s="74" t="s">
        <v>829</v>
      </c>
      <c r="AS93" s="69" t="s">
        <v>34</v>
      </c>
      <c r="AT93" s="69" t="s">
        <v>827</v>
      </c>
      <c r="AU93" s="69" t="s">
        <v>46</v>
      </c>
      <c r="AV93" s="69" t="s">
        <v>46</v>
      </c>
      <c r="AW93" s="69" t="s">
        <v>46</v>
      </c>
      <c r="AX93" s="69" t="s">
        <v>46</v>
      </c>
      <c r="AY93" s="69" t="s">
        <v>46</v>
      </c>
      <c r="AZ93" s="69" t="s">
        <v>46</v>
      </c>
      <c r="BA93" s="69" t="s">
        <v>46</v>
      </c>
      <c r="BB93" s="69" t="s">
        <v>46</v>
      </c>
      <c r="BC93" s="69" t="s">
        <v>46</v>
      </c>
      <c r="BD93" s="69" t="s">
        <v>46</v>
      </c>
      <c r="BE93" s="69" t="s">
        <v>46</v>
      </c>
      <c r="BF93" s="69" t="s">
        <v>46</v>
      </c>
      <c r="BG93" s="69" t="s">
        <v>46</v>
      </c>
      <c r="BH93" s="69" t="s">
        <v>46</v>
      </c>
      <c r="BI93" s="69" t="s">
        <v>46</v>
      </c>
      <c r="BJ93" s="69" t="s">
        <v>46</v>
      </c>
      <c r="BK93" s="69" t="s">
        <v>46</v>
      </c>
      <c r="BL93" s="69" t="s">
        <v>828</v>
      </c>
      <c r="BM93" s="75" t="s">
        <v>11</v>
      </c>
      <c r="BN93" s="75" t="s">
        <v>878</v>
      </c>
      <c r="BO93" s="72" t="s">
        <v>1083</v>
      </c>
      <c r="BP93" s="72">
        <v>14800.5</v>
      </c>
      <c r="BQ93" s="75" t="s">
        <v>11</v>
      </c>
      <c r="BR93" s="72" t="s">
        <v>1011</v>
      </c>
      <c r="BS93" s="72" t="s">
        <v>1010</v>
      </c>
    </row>
    <row r="94" spans="1:71" ht="180" x14ac:dyDescent="0.25">
      <c r="A94" s="69" t="s">
        <v>354</v>
      </c>
      <c r="B94" s="69" t="s">
        <v>24</v>
      </c>
      <c r="C94" s="69" t="s">
        <v>320</v>
      </c>
      <c r="D94" s="69" t="s">
        <v>12</v>
      </c>
      <c r="E94" s="69" t="s">
        <v>25</v>
      </c>
      <c r="F94" s="69" t="s">
        <v>3</v>
      </c>
      <c r="G94" s="69">
        <v>200</v>
      </c>
      <c r="H94" s="70">
        <v>14.25</v>
      </c>
      <c r="I94" s="70">
        <f t="shared" ref="I94:I123" si="5">H94/G94</f>
        <v>7.1249999999999994E-2</v>
      </c>
      <c r="J94" s="69" t="s">
        <v>100</v>
      </c>
      <c r="K94" s="69" t="s">
        <v>172</v>
      </c>
      <c r="L94" s="69" t="s">
        <v>2</v>
      </c>
      <c r="M94" s="75" t="s">
        <v>8</v>
      </c>
      <c r="N94" s="75" t="s">
        <v>2</v>
      </c>
      <c r="O94" s="75" t="s">
        <v>701</v>
      </c>
      <c r="P94" s="75" t="s">
        <v>702</v>
      </c>
      <c r="Q94" s="75" t="s">
        <v>704</v>
      </c>
      <c r="R94" s="75" t="s">
        <v>2</v>
      </c>
      <c r="S94" s="75" t="s">
        <v>2</v>
      </c>
      <c r="T94" s="75" t="s">
        <v>2</v>
      </c>
      <c r="U94" s="75" t="s">
        <v>2</v>
      </c>
      <c r="V94" s="75" t="s">
        <v>2</v>
      </c>
      <c r="W94" s="75" t="s">
        <v>2</v>
      </c>
      <c r="X94" s="75" t="s">
        <v>2</v>
      </c>
      <c r="Y94" s="75" t="s">
        <v>718</v>
      </c>
      <c r="Z94" s="69" t="s">
        <v>79</v>
      </c>
      <c r="AA94" s="69" t="s">
        <v>725</v>
      </c>
      <c r="AB94" s="69" t="s">
        <v>725</v>
      </c>
      <c r="AC94" s="69" t="s">
        <v>793</v>
      </c>
      <c r="AD94" s="72">
        <v>1400</v>
      </c>
      <c r="AE94" s="75" t="s">
        <v>9</v>
      </c>
      <c r="AF94" s="75" t="s">
        <v>2</v>
      </c>
      <c r="AG94" s="75" t="s">
        <v>46</v>
      </c>
      <c r="AH94" s="75" t="s">
        <v>46</v>
      </c>
      <c r="AI94" s="75" t="s">
        <v>46</v>
      </c>
      <c r="AJ94" s="72" t="str">
        <f>IF(Table13[[#This Row],[Indicative carbon footprint /inhaler (gCO2e) 7,8]]&gt;1796,"High","Low")</f>
        <v>Low</v>
      </c>
      <c r="AK94" s="75" t="s">
        <v>46</v>
      </c>
      <c r="AL94" s="72" t="s">
        <v>46</v>
      </c>
      <c r="AM94" s="69"/>
      <c r="AN94" s="69" t="s">
        <v>2</v>
      </c>
      <c r="AO94" s="69" t="s">
        <v>2</v>
      </c>
      <c r="AP94" s="69" t="s">
        <v>2</v>
      </c>
      <c r="AQ94" s="69" t="s">
        <v>2</v>
      </c>
      <c r="AR94" s="74" t="s">
        <v>173</v>
      </c>
      <c r="AS94" s="69" t="s">
        <v>34</v>
      </c>
      <c r="AT94" s="69" t="s">
        <v>257</v>
      </c>
      <c r="AU94" s="69" t="s">
        <v>46</v>
      </c>
      <c r="AV94" s="69" t="s">
        <v>46</v>
      </c>
      <c r="AW94" s="69" t="s">
        <v>46</v>
      </c>
      <c r="AX94" s="69" t="s">
        <v>46</v>
      </c>
      <c r="AY94" s="69" t="s">
        <v>46</v>
      </c>
      <c r="AZ94" s="69" t="s">
        <v>46</v>
      </c>
      <c r="BA94" s="69" t="s">
        <v>46</v>
      </c>
      <c r="BB94" s="69" t="s">
        <v>46</v>
      </c>
      <c r="BC94" s="69" t="s">
        <v>46</v>
      </c>
      <c r="BD94" s="69" t="s">
        <v>46</v>
      </c>
      <c r="BE94" s="69" t="s">
        <v>46</v>
      </c>
      <c r="BF94" s="69" t="s">
        <v>2</v>
      </c>
      <c r="BG94" s="69" t="s">
        <v>2</v>
      </c>
      <c r="BH94" s="69" t="s">
        <v>2</v>
      </c>
      <c r="BI94" s="69" t="s">
        <v>2</v>
      </c>
      <c r="BJ94" s="69" t="s">
        <v>2</v>
      </c>
      <c r="BK94" s="69" t="s">
        <v>2</v>
      </c>
      <c r="BL94" s="69" t="s">
        <v>786</v>
      </c>
      <c r="BM94" s="75" t="s">
        <v>11</v>
      </c>
      <c r="BN94" s="75" t="s">
        <v>2</v>
      </c>
      <c r="BO94" s="72">
        <v>1400</v>
      </c>
      <c r="BP94" s="72">
        <v>1400</v>
      </c>
      <c r="BQ94" s="75" t="s">
        <v>34</v>
      </c>
      <c r="BR94" s="72">
        <f>Table13[[#This Row],[Inhaler carbon footprint per inhaler in v2.37 (gCO2e) ]]-Table13[[#This Row],[Inhaler carbon footprint per inhaler in v2.36 (gCO2e) ]]</f>
        <v>0</v>
      </c>
      <c r="BS94" s="72" t="s">
        <v>809</v>
      </c>
    </row>
    <row r="95" spans="1:71" ht="180" x14ac:dyDescent="0.25">
      <c r="A95" s="69" t="s">
        <v>355</v>
      </c>
      <c r="B95" s="69" t="s">
        <v>24</v>
      </c>
      <c r="C95" s="69" t="s">
        <v>322</v>
      </c>
      <c r="D95" s="69" t="s">
        <v>12</v>
      </c>
      <c r="E95" s="69" t="s">
        <v>25</v>
      </c>
      <c r="F95" s="69" t="s">
        <v>3</v>
      </c>
      <c r="G95" s="69">
        <v>100</v>
      </c>
      <c r="H95" s="70">
        <v>14.25</v>
      </c>
      <c r="I95" s="70">
        <f t="shared" si="5"/>
        <v>0.14249999999999999</v>
      </c>
      <c r="J95" s="69" t="s">
        <v>100</v>
      </c>
      <c r="K95" s="69" t="s">
        <v>172</v>
      </c>
      <c r="L95" s="69" t="s">
        <v>2</v>
      </c>
      <c r="M95" s="75" t="s">
        <v>8</v>
      </c>
      <c r="N95" s="75" t="s">
        <v>2</v>
      </c>
      <c r="O95" s="75" t="s">
        <v>700</v>
      </c>
      <c r="P95" s="75" t="s">
        <v>699</v>
      </c>
      <c r="Q95" s="75" t="s">
        <v>705</v>
      </c>
      <c r="R95" s="75" t="s">
        <v>2</v>
      </c>
      <c r="S95" s="75" t="s">
        <v>2</v>
      </c>
      <c r="T95" s="75" t="s">
        <v>2</v>
      </c>
      <c r="U95" s="75" t="s">
        <v>2</v>
      </c>
      <c r="V95" s="75" t="s">
        <v>2</v>
      </c>
      <c r="W95" s="75" t="s">
        <v>2</v>
      </c>
      <c r="X95" s="75" t="s">
        <v>2</v>
      </c>
      <c r="Y95" s="75" t="s">
        <v>718</v>
      </c>
      <c r="Z95" s="69" t="s">
        <v>79</v>
      </c>
      <c r="AA95" s="69" t="s">
        <v>725</v>
      </c>
      <c r="AB95" s="69" t="s">
        <v>725</v>
      </c>
      <c r="AC95" s="69" t="s">
        <v>793</v>
      </c>
      <c r="AD95" s="72">
        <v>1400</v>
      </c>
      <c r="AE95" s="75" t="s">
        <v>9</v>
      </c>
      <c r="AF95" s="75" t="s">
        <v>2</v>
      </c>
      <c r="AG95" s="75" t="s">
        <v>46</v>
      </c>
      <c r="AH95" s="75" t="s">
        <v>46</v>
      </c>
      <c r="AI95" s="75" t="s">
        <v>46</v>
      </c>
      <c r="AJ95" s="72" t="str">
        <f>IF(Table13[[#This Row],[Indicative carbon footprint /inhaler (gCO2e) 7,8]]&gt;1796,"High","Low")</f>
        <v>Low</v>
      </c>
      <c r="AK95" s="75" t="s">
        <v>46</v>
      </c>
      <c r="AL95" s="72" t="s">
        <v>46</v>
      </c>
      <c r="AM95" s="69"/>
      <c r="AN95" s="69" t="s">
        <v>2</v>
      </c>
      <c r="AO95" s="69" t="s">
        <v>2</v>
      </c>
      <c r="AP95" s="69" t="s">
        <v>2</v>
      </c>
      <c r="AQ95" s="69" t="s">
        <v>2</v>
      </c>
      <c r="AR95" s="74" t="s">
        <v>174</v>
      </c>
      <c r="AS95" s="69" t="s">
        <v>34</v>
      </c>
      <c r="AT95" s="69" t="s">
        <v>257</v>
      </c>
      <c r="AU95" s="69" t="s">
        <v>46</v>
      </c>
      <c r="AV95" s="69" t="s">
        <v>46</v>
      </c>
      <c r="AW95" s="69" t="s">
        <v>46</v>
      </c>
      <c r="AX95" s="69" t="s">
        <v>46</v>
      </c>
      <c r="AY95" s="69" t="s">
        <v>46</v>
      </c>
      <c r="AZ95" s="69" t="s">
        <v>46</v>
      </c>
      <c r="BA95" s="69" t="s">
        <v>46</v>
      </c>
      <c r="BB95" s="69" t="s">
        <v>46</v>
      </c>
      <c r="BC95" s="69" t="s">
        <v>46</v>
      </c>
      <c r="BD95" s="69" t="s">
        <v>46</v>
      </c>
      <c r="BE95" s="69" t="s">
        <v>46</v>
      </c>
      <c r="BF95" s="69" t="s">
        <v>2</v>
      </c>
      <c r="BG95" s="69" t="s">
        <v>2</v>
      </c>
      <c r="BH95" s="69" t="s">
        <v>2</v>
      </c>
      <c r="BI95" s="69" t="s">
        <v>2</v>
      </c>
      <c r="BJ95" s="69" t="s">
        <v>2</v>
      </c>
      <c r="BK95" s="69" t="s">
        <v>2</v>
      </c>
      <c r="BL95" s="69" t="s">
        <v>786</v>
      </c>
      <c r="BM95" s="75" t="s">
        <v>11</v>
      </c>
      <c r="BN95" s="75" t="s">
        <v>2</v>
      </c>
      <c r="BO95" s="72">
        <v>1400</v>
      </c>
      <c r="BP95" s="72">
        <v>1400</v>
      </c>
      <c r="BQ95" s="75" t="s">
        <v>34</v>
      </c>
      <c r="BR95" s="72">
        <f>Table13[[#This Row],[Inhaler carbon footprint per inhaler in v2.37 (gCO2e) ]]-Table13[[#This Row],[Inhaler carbon footprint per inhaler in v2.36 (gCO2e) ]]</f>
        <v>0</v>
      </c>
      <c r="BS95" s="72" t="s">
        <v>809</v>
      </c>
    </row>
    <row r="96" spans="1:71" ht="180" x14ac:dyDescent="0.25">
      <c r="A96" s="69" t="s">
        <v>356</v>
      </c>
      <c r="B96" s="69" t="s">
        <v>24</v>
      </c>
      <c r="C96" s="69" t="s">
        <v>324</v>
      </c>
      <c r="D96" s="69" t="s">
        <v>12</v>
      </c>
      <c r="E96" s="69" t="s">
        <v>25</v>
      </c>
      <c r="F96" s="69" t="s">
        <v>3</v>
      </c>
      <c r="G96" s="69">
        <v>50</v>
      </c>
      <c r="H96" s="70">
        <v>14.25</v>
      </c>
      <c r="I96" s="70">
        <f t="shared" si="5"/>
        <v>0.28499999999999998</v>
      </c>
      <c r="J96" s="69" t="s">
        <v>100</v>
      </c>
      <c r="K96" s="69" t="s">
        <v>172</v>
      </c>
      <c r="L96" s="69" t="s">
        <v>2</v>
      </c>
      <c r="M96" s="75" t="s">
        <v>8</v>
      </c>
      <c r="N96" s="75" t="s">
        <v>2</v>
      </c>
      <c r="O96" s="75" t="s">
        <v>2</v>
      </c>
      <c r="P96" s="75" t="s">
        <v>700</v>
      </c>
      <c r="Q96" s="75" t="s">
        <v>699</v>
      </c>
      <c r="R96" s="75" t="s">
        <v>2</v>
      </c>
      <c r="S96" s="75" t="s">
        <v>2</v>
      </c>
      <c r="T96" s="75" t="s">
        <v>2</v>
      </c>
      <c r="U96" s="75" t="s">
        <v>2</v>
      </c>
      <c r="V96" s="75" t="s">
        <v>2</v>
      </c>
      <c r="W96" s="75" t="s">
        <v>2</v>
      </c>
      <c r="X96" s="75" t="s">
        <v>2</v>
      </c>
      <c r="Y96" s="75" t="s">
        <v>718</v>
      </c>
      <c r="Z96" s="69" t="s">
        <v>79</v>
      </c>
      <c r="AA96" s="69" t="s">
        <v>725</v>
      </c>
      <c r="AB96" s="69" t="s">
        <v>725</v>
      </c>
      <c r="AC96" s="69" t="s">
        <v>793</v>
      </c>
      <c r="AD96" s="72">
        <v>1700</v>
      </c>
      <c r="AE96" s="75" t="s">
        <v>9</v>
      </c>
      <c r="AF96" s="75" t="s">
        <v>2</v>
      </c>
      <c r="AG96" s="75" t="s">
        <v>46</v>
      </c>
      <c r="AH96" s="75" t="s">
        <v>46</v>
      </c>
      <c r="AI96" s="75" t="s">
        <v>46</v>
      </c>
      <c r="AJ96" s="72" t="str">
        <f>IF(Table13[[#This Row],[Indicative carbon footprint /inhaler (gCO2e) 7,8]]&gt;1796,"High","Low")</f>
        <v>Low</v>
      </c>
      <c r="AK96" s="75" t="s">
        <v>46</v>
      </c>
      <c r="AL96" s="72" t="s">
        <v>46</v>
      </c>
      <c r="AM96" s="69"/>
      <c r="AN96" s="69" t="s">
        <v>2</v>
      </c>
      <c r="AO96" s="69" t="s">
        <v>2</v>
      </c>
      <c r="AP96" s="69" t="s">
        <v>2</v>
      </c>
      <c r="AQ96" s="69" t="s">
        <v>2</v>
      </c>
      <c r="AR96" s="74" t="s">
        <v>175</v>
      </c>
      <c r="AS96" s="69" t="s">
        <v>34</v>
      </c>
      <c r="AT96" s="69" t="s">
        <v>257</v>
      </c>
      <c r="AU96" s="69" t="s">
        <v>46</v>
      </c>
      <c r="AV96" s="69" t="s">
        <v>46</v>
      </c>
      <c r="AW96" s="69" t="s">
        <v>46</v>
      </c>
      <c r="AX96" s="69" t="s">
        <v>46</v>
      </c>
      <c r="AY96" s="69" t="s">
        <v>46</v>
      </c>
      <c r="AZ96" s="69" t="s">
        <v>46</v>
      </c>
      <c r="BA96" s="69" t="s">
        <v>46</v>
      </c>
      <c r="BB96" s="69" t="s">
        <v>46</v>
      </c>
      <c r="BC96" s="69" t="s">
        <v>46</v>
      </c>
      <c r="BD96" s="69" t="s">
        <v>46</v>
      </c>
      <c r="BE96" s="69" t="s">
        <v>46</v>
      </c>
      <c r="BF96" s="69" t="s">
        <v>2</v>
      </c>
      <c r="BG96" s="69" t="s">
        <v>2</v>
      </c>
      <c r="BH96" s="69" t="s">
        <v>2</v>
      </c>
      <c r="BI96" s="69" t="s">
        <v>2</v>
      </c>
      <c r="BJ96" s="69" t="s">
        <v>2</v>
      </c>
      <c r="BK96" s="69" t="s">
        <v>2</v>
      </c>
      <c r="BL96" s="69" t="s">
        <v>786</v>
      </c>
      <c r="BM96" s="75" t="s">
        <v>11</v>
      </c>
      <c r="BN96" s="75" t="s">
        <v>2</v>
      </c>
      <c r="BO96" s="72">
        <v>1700</v>
      </c>
      <c r="BP96" s="72">
        <v>1700</v>
      </c>
      <c r="BQ96" s="75" t="s">
        <v>34</v>
      </c>
      <c r="BR96" s="72">
        <f>Table13[[#This Row],[Inhaler carbon footprint per inhaler in v2.37 (gCO2e) ]]-Table13[[#This Row],[Inhaler carbon footprint per inhaler in v2.36 (gCO2e) ]]</f>
        <v>0</v>
      </c>
      <c r="BS96" s="72" t="s">
        <v>809</v>
      </c>
    </row>
    <row r="97" spans="1:71" ht="180" x14ac:dyDescent="0.25">
      <c r="A97" s="69" t="s">
        <v>357</v>
      </c>
      <c r="B97" s="69" t="s">
        <v>16</v>
      </c>
      <c r="C97" s="69" t="s">
        <v>305</v>
      </c>
      <c r="D97" s="69" t="s">
        <v>12</v>
      </c>
      <c r="E97" s="69" t="s">
        <v>25</v>
      </c>
      <c r="F97" s="69" t="s">
        <v>13</v>
      </c>
      <c r="G97" s="69">
        <v>200</v>
      </c>
      <c r="H97" s="70">
        <v>17.21</v>
      </c>
      <c r="I97" s="70">
        <f t="shared" si="5"/>
        <v>8.6050000000000001E-2</v>
      </c>
      <c r="J97" s="69" t="s">
        <v>100</v>
      </c>
      <c r="K97" s="69" t="s">
        <v>26</v>
      </c>
      <c r="L97" s="69" t="s">
        <v>2</v>
      </c>
      <c r="M97" s="75" t="s">
        <v>8</v>
      </c>
      <c r="N97" s="75" t="s">
        <v>2</v>
      </c>
      <c r="O97" s="75" t="s">
        <v>700</v>
      </c>
      <c r="P97" s="75" t="s">
        <v>699</v>
      </c>
      <c r="Q97" s="75" t="s">
        <v>705</v>
      </c>
      <c r="R97" s="75" t="s">
        <v>2</v>
      </c>
      <c r="S97" s="75" t="s">
        <v>2</v>
      </c>
      <c r="T97" s="75" t="s">
        <v>2</v>
      </c>
      <c r="U97" s="75" t="s">
        <v>2</v>
      </c>
      <c r="V97" s="75" t="s">
        <v>2</v>
      </c>
      <c r="W97" s="75" t="s">
        <v>2</v>
      </c>
      <c r="X97" s="75" t="s">
        <v>2</v>
      </c>
      <c r="Y97" s="75" t="s">
        <v>717</v>
      </c>
      <c r="Z97" s="69" t="s">
        <v>8</v>
      </c>
      <c r="AA97" s="69" t="s">
        <v>715</v>
      </c>
      <c r="AB97" s="69" t="s">
        <v>715</v>
      </c>
      <c r="AC97" s="69" t="s">
        <v>875</v>
      </c>
      <c r="AD97" s="72">
        <f>Table13[[#This Row],[Carbon footprint per inhaler attributed to propellant PrescQIPP calculated as gCO2e (from PIL or as assigned in the methodology)11-13]]</f>
        <v>18775.900000000001</v>
      </c>
      <c r="AE97" s="75" t="s">
        <v>530</v>
      </c>
      <c r="AF97" s="75" t="s">
        <v>2</v>
      </c>
      <c r="AG97" s="75" t="s">
        <v>809</v>
      </c>
      <c r="AH97" s="75" t="s">
        <v>34</v>
      </c>
      <c r="AI97" s="75" t="s">
        <v>809</v>
      </c>
      <c r="AJ97" s="72" t="str">
        <f>IF(Table13[[#This Row],[Indicative carbon footprint /inhaler (gCO2e) 7,8]]&gt;1796,"High","Low")</f>
        <v>High</v>
      </c>
      <c r="AK97" s="75" t="s">
        <v>46</v>
      </c>
      <c r="AL97" s="72" t="s">
        <v>46</v>
      </c>
      <c r="AM97" s="69" t="s">
        <v>176</v>
      </c>
      <c r="AN97" s="69" t="s">
        <v>177</v>
      </c>
      <c r="AO97" s="87">
        <v>13.13</v>
      </c>
      <c r="AP97" s="88">
        <v>1.8780000000000002E-2</v>
      </c>
      <c r="AQ97" s="89">
        <v>18775.900000000001</v>
      </c>
      <c r="AR97" s="74" t="s">
        <v>178</v>
      </c>
      <c r="AS97" s="69" t="s">
        <v>34</v>
      </c>
      <c r="AT97" s="69" t="s">
        <v>46</v>
      </c>
      <c r="AU97" s="69" t="s">
        <v>46</v>
      </c>
      <c r="AV97" s="69" t="s">
        <v>46</v>
      </c>
      <c r="AW97" s="69" t="s">
        <v>46</v>
      </c>
      <c r="AX97" s="69" t="s">
        <v>46</v>
      </c>
      <c r="AY97" s="69" t="s">
        <v>46</v>
      </c>
      <c r="AZ97" s="69" t="s">
        <v>46</v>
      </c>
      <c r="BA97" s="69" t="s">
        <v>46</v>
      </c>
      <c r="BB97" s="69" t="s">
        <v>46</v>
      </c>
      <c r="BC97" s="69" t="s">
        <v>46</v>
      </c>
      <c r="BD97" s="69" t="s">
        <v>46</v>
      </c>
      <c r="BE97" s="69" t="s">
        <v>46</v>
      </c>
      <c r="BF97" s="69" t="s">
        <v>46</v>
      </c>
      <c r="BG97" s="69" t="s">
        <v>46</v>
      </c>
      <c r="BH97" s="69" t="s">
        <v>46</v>
      </c>
      <c r="BI97" s="69" t="s">
        <v>46</v>
      </c>
      <c r="BJ97" s="69" t="s">
        <v>46</v>
      </c>
      <c r="BK97" s="69" t="s">
        <v>46</v>
      </c>
      <c r="BL97" s="69" t="s">
        <v>46</v>
      </c>
      <c r="BM97" s="75" t="s">
        <v>11</v>
      </c>
      <c r="BN97" s="75" t="s">
        <v>878</v>
      </c>
      <c r="BO97" s="72">
        <v>20350</v>
      </c>
      <c r="BP97" s="72">
        <v>18775.900000000001</v>
      </c>
      <c r="BQ97" s="75" t="s">
        <v>11</v>
      </c>
      <c r="BR97" s="72">
        <f>Table13[[#This Row],[Inhaler carbon footprint per inhaler in v2.37 (gCO2e) ]]-Table13[[#This Row],[Inhaler carbon footprint per inhaler in v2.36 (gCO2e) ]]</f>
        <v>-1574.0999999999985</v>
      </c>
      <c r="BS97" s="72">
        <f>Table13[[#This Row],[Inhaler carbon footprint per inhaler in v2.37 (gCO2e) ]]-Table13[[#This Row],[Inhaler carbon footprint per inhaler in v2.36 (gCO2e) ]]</f>
        <v>-1574.0999999999985</v>
      </c>
    </row>
    <row r="98" spans="1:71" ht="180" x14ac:dyDescent="0.25">
      <c r="A98" s="69" t="s">
        <v>358</v>
      </c>
      <c r="B98" s="69" t="s">
        <v>16</v>
      </c>
      <c r="C98" s="69" t="s">
        <v>311</v>
      </c>
      <c r="D98" s="69" t="s">
        <v>12</v>
      </c>
      <c r="E98" s="69" t="s">
        <v>25</v>
      </c>
      <c r="F98" s="69" t="s">
        <v>13</v>
      </c>
      <c r="G98" s="69">
        <v>200</v>
      </c>
      <c r="H98" s="70">
        <v>7.87</v>
      </c>
      <c r="I98" s="70">
        <f t="shared" si="5"/>
        <v>3.9350000000000003E-2</v>
      </c>
      <c r="J98" s="69" t="s">
        <v>100</v>
      </c>
      <c r="K98" s="69" t="s">
        <v>26</v>
      </c>
      <c r="L98" s="69" t="s">
        <v>2</v>
      </c>
      <c r="M98" s="75" t="s">
        <v>8</v>
      </c>
      <c r="N98" s="75" t="s">
        <v>2</v>
      </c>
      <c r="O98" s="75" t="s">
        <v>701</v>
      </c>
      <c r="P98" s="75" t="s">
        <v>702</v>
      </c>
      <c r="Q98" s="75" t="s">
        <v>704</v>
      </c>
      <c r="R98" s="75" t="s">
        <v>2</v>
      </c>
      <c r="S98" s="75" t="s">
        <v>2</v>
      </c>
      <c r="T98" s="75" t="s">
        <v>2</v>
      </c>
      <c r="U98" s="75" t="s">
        <v>2</v>
      </c>
      <c r="V98" s="75" t="s">
        <v>2</v>
      </c>
      <c r="W98" s="75" t="s">
        <v>2</v>
      </c>
      <c r="X98" s="75" t="s">
        <v>2</v>
      </c>
      <c r="Y98" s="75" t="s">
        <v>717</v>
      </c>
      <c r="Z98" s="69" t="s">
        <v>8</v>
      </c>
      <c r="AA98" s="69" t="s">
        <v>715</v>
      </c>
      <c r="AB98" s="69" t="s">
        <v>715</v>
      </c>
      <c r="AC98" s="69" t="s">
        <v>875</v>
      </c>
      <c r="AD98" s="72">
        <f>Table13[[#This Row],[Carbon footprint per inhaler attributed to propellant PrescQIPP calculated as gCO2e (from PIL or as assigned in the methodology)11-13]]</f>
        <v>18790.2</v>
      </c>
      <c r="AE98" s="75" t="s">
        <v>530</v>
      </c>
      <c r="AF98" s="75" t="s">
        <v>2</v>
      </c>
      <c r="AG98" s="75" t="s">
        <v>809</v>
      </c>
      <c r="AH98" s="75" t="s">
        <v>34</v>
      </c>
      <c r="AI98" s="75" t="s">
        <v>809</v>
      </c>
      <c r="AJ98" s="72" t="str">
        <f>IF(Table13[[#This Row],[Indicative carbon footprint /inhaler (gCO2e) 7,8]]&gt;1796,"High","Low")</f>
        <v>High</v>
      </c>
      <c r="AK98" s="75" t="s">
        <v>46</v>
      </c>
      <c r="AL98" s="72" t="s">
        <v>46</v>
      </c>
      <c r="AM98" s="69" t="s">
        <v>176</v>
      </c>
      <c r="AN98" s="69" t="s">
        <v>177</v>
      </c>
      <c r="AO98" s="87">
        <v>13.14</v>
      </c>
      <c r="AP98" s="88">
        <v>1.8790000000000001E-2</v>
      </c>
      <c r="AQ98" s="89">
        <v>18790.2</v>
      </c>
      <c r="AR98" s="74" t="s">
        <v>179</v>
      </c>
      <c r="AS98" s="69" t="s">
        <v>34</v>
      </c>
      <c r="AT98" s="69" t="s">
        <v>46</v>
      </c>
      <c r="AU98" s="69" t="s">
        <v>46</v>
      </c>
      <c r="AV98" s="69" t="s">
        <v>46</v>
      </c>
      <c r="AW98" s="69" t="s">
        <v>46</v>
      </c>
      <c r="AX98" s="69" t="s">
        <v>46</v>
      </c>
      <c r="AY98" s="69" t="s">
        <v>46</v>
      </c>
      <c r="AZ98" s="69" t="s">
        <v>46</v>
      </c>
      <c r="BA98" s="69" t="s">
        <v>46</v>
      </c>
      <c r="BB98" s="69" t="s">
        <v>46</v>
      </c>
      <c r="BC98" s="69" t="s">
        <v>46</v>
      </c>
      <c r="BD98" s="69" t="s">
        <v>46</v>
      </c>
      <c r="BE98" s="69" t="s">
        <v>46</v>
      </c>
      <c r="BF98" s="69" t="s">
        <v>46</v>
      </c>
      <c r="BG98" s="69" t="s">
        <v>46</v>
      </c>
      <c r="BH98" s="69" t="s">
        <v>46</v>
      </c>
      <c r="BI98" s="69" t="s">
        <v>46</v>
      </c>
      <c r="BJ98" s="69" t="s">
        <v>46</v>
      </c>
      <c r="BK98" s="69" t="s">
        <v>46</v>
      </c>
      <c r="BL98" s="69" t="s">
        <v>46</v>
      </c>
      <c r="BM98" s="75" t="s">
        <v>11</v>
      </c>
      <c r="BN98" s="75" t="s">
        <v>878</v>
      </c>
      <c r="BO98" s="72">
        <v>20350</v>
      </c>
      <c r="BP98" s="72">
        <v>18790.2</v>
      </c>
      <c r="BQ98" s="75" t="s">
        <v>11</v>
      </c>
      <c r="BR98" s="72">
        <f>Table13[[#This Row],[Inhaler carbon footprint per inhaler in v2.37 (gCO2e) ]]-Table13[[#This Row],[Inhaler carbon footprint per inhaler in v2.36 (gCO2e) ]]</f>
        <v>-1559.7999999999993</v>
      </c>
      <c r="BS98" s="72">
        <f>Table13[[#This Row],[Inhaler carbon footprint per inhaler in v2.37 (gCO2e) ]]-Table13[[#This Row],[Inhaler carbon footprint per inhaler in v2.36 (gCO2e) ]]</f>
        <v>-1559.7999999999993</v>
      </c>
    </row>
    <row r="99" spans="1:71" ht="180" x14ac:dyDescent="0.25">
      <c r="A99" s="69" t="s">
        <v>359</v>
      </c>
      <c r="B99" s="69" t="s">
        <v>16</v>
      </c>
      <c r="C99" s="69" t="s">
        <v>305</v>
      </c>
      <c r="D99" s="69" t="s">
        <v>12</v>
      </c>
      <c r="E99" s="69" t="s">
        <v>25</v>
      </c>
      <c r="F99" s="69" t="s">
        <v>127</v>
      </c>
      <c r="G99" s="69">
        <v>200</v>
      </c>
      <c r="H99" s="70">
        <v>17.21</v>
      </c>
      <c r="I99" s="70">
        <f t="shared" si="5"/>
        <v>8.6050000000000001E-2</v>
      </c>
      <c r="J99" s="69" t="s">
        <v>100</v>
      </c>
      <c r="K99" s="69" t="s">
        <v>26</v>
      </c>
      <c r="L99" s="69" t="s">
        <v>2</v>
      </c>
      <c r="M99" s="75" t="s">
        <v>8</v>
      </c>
      <c r="N99" s="75" t="s">
        <v>2</v>
      </c>
      <c r="O99" s="75" t="s">
        <v>700</v>
      </c>
      <c r="P99" s="75" t="s">
        <v>699</v>
      </c>
      <c r="Q99" s="75" t="s">
        <v>705</v>
      </c>
      <c r="R99" s="75" t="s">
        <v>2</v>
      </c>
      <c r="S99" s="75" t="s">
        <v>2</v>
      </c>
      <c r="T99" s="75" t="s">
        <v>2</v>
      </c>
      <c r="U99" s="75" t="s">
        <v>2</v>
      </c>
      <c r="V99" s="75" t="s">
        <v>2</v>
      </c>
      <c r="W99" s="75" t="s">
        <v>2</v>
      </c>
      <c r="X99" s="75" t="s">
        <v>2</v>
      </c>
      <c r="Y99" s="75" t="s">
        <v>717</v>
      </c>
      <c r="Z99" s="69" t="s">
        <v>8</v>
      </c>
      <c r="AA99" s="69" t="s">
        <v>715</v>
      </c>
      <c r="AB99" s="69" t="s">
        <v>715</v>
      </c>
      <c r="AC99" s="69" t="s">
        <v>875</v>
      </c>
      <c r="AD99" s="72">
        <f>Table13[[#This Row],[Carbon footprint per inhaler attributed to propellant PrescQIPP calculated as gCO2e (from PIL or as assigned in the methodology)11-13]]</f>
        <v>18775.900000000001</v>
      </c>
      <c r="AE99" s="75" t="s">
        <v>530</v>
      </c>
      <c r="AF99" s="75" t="s">
        <v>2</v>
      </c>
      <c r="AG99" s="75" t="s">
        <v>809</v>
      </c>
      <c r="AH99" s="75" t="s">
        <v>34</v>
      </c>
      <c r="AI99" s="75" t="s">
        <v>809</v>
      </c>
      <c r="AJ99" s="72" t="str">
        <f>IF(Table13[[#This Row],[Indicative carbon footprint /inhaler (gCO2e) 7,8]]&gt;1796,"High","Low")</f>
        <v>High</v>
      </c>
      <c r="AK99" s="75" t="s">
        <v>46</v>
      </c>
      <c r="AL99" s="72" t="s">
        <v>46</v>
      </c>
      <c r="AM99" s="69" t="s">
        <v>176</v>
      </c>
      <c r="AN99" s="69" t="s">
        <v>177</v>
      </c>
      <c r="AO99" s="87">
        <v>13.13</v>
      </c>
      <c r="AP99" s="88">
        <v>1.8780000000000002E-2</v>
      </c>
      <c r="AQ99" s="89">
        <v>18775.900000000001</v>
      </c>
      <c r="AR99" s="74" t="s">
        <v>180</v>
      </c>
      <c r="AS99" s="69" t="s">
        <v>34</v>
      </c>
      <c r="AT99" s="69" t="s">
        <v>46</v>
      </c>
      <c r="AU99" s="69" t="s">
        <v>46</v>
      </c>
      <c r="AV99" s="69" t="s">
        <v>46</v>
      </c>
      <c r="AW99" s="69" t="s">
        <v>46</v>
      </c>
      <c r="AX99" s="69" t="s">
        <v>46</v>
      </c>
      <c r="AY99" s="69" t="s">
        <v>46</v>
      </c>
      <c r="AZ99" s="69" t="s">
        <v>46</v>
      </c>
      <c r="BA99" s="69" t="s">
        <v>46</v>
      </c>
      <c r="BB99" s="69" t="s">
        <v>46</v>
      </c>
      <c r="BC99" s="69" t="s">
        <v>46</v>
      </c>
      <c r="BD99" s="69" t="s">
        <v>46</v>
      </c>
      <c r="BE99" s="69" t="s">
        <v>46</v>
      </c>
      <c r="BF99" s="69" t="s">
        <v>46</v>
      </c>
      <c r="BG99" s="69" t="s">
        <v>46</v>
      </c>
      <c r="BH99" s="69" t="s">
        <v>46</v>
      </c>
      <c r="BI99" s="69" t="s">
        <v>46</v>
      </c>
      <c r="BJ99" s="69" t="s">
        <v>46</v>
      </c>
      <c r="BK99" s="69" t="s">
        <v>46</v>
      </c>
      <c r="BL99" s="69" t="s">
        <v>46</v>
      </c>
      <c r="BM99" s="75" t="s">
        <v>11</v>
      </c>
      <c r="BN99" s="75" t="s">
        <v>878</v>
      </c>
      <c r="BO99" s="72">
        <v>20350</v>
      </c>
      <c r="BP99" s="72">
        <v>18775.900000000001</v>
      </c>
      <c r="BQ99" s="75" t="s">
        <v>11</v>
      </c>
      <c r="BR99" s="72">
        <f>Table13[[#This Row],[Inhaler carbon footprint per inhaler in v2.37 (gCO2e) ]]-Table13[[#This Row],[Inhaler carbon footprint per inhaler in v2.36 (gCO2e) ]]</f>
        <v>-1574.0999999999985</v>
      </c>
      <c r="BS99" s="72">
        <f>Table13[[#This Row],[Inhaler carbon footprint per inhaler in v2.37 (gCO2e) ]]-Table13[[#This Row],[Inhaler carbon footprint per inhaler in v2.36 (gCO2e) ]]</f>
        <v>-1574.0999999999985</v>
      </c>
    </row>
    <row r="100" spans="1:71" ht="180" x14ac:dyDescent="0.25">
      <c r="A100" s="69" t="s">
        <v>360</v>
      </c>
      <c r="B100" s="69" t="s">
        <v>16</v>
      </c>
      <c r="C100" s="69" t="s">
        <v>311</v>
      </c>
      <c r="D100" s="69" t="s">
        <v>12</v>
      </c>
      <c r="E100" s="69" t="s">
        <v>25</v>
      </c>
      <c r="F100" s="69" t="s">
        <v>127</v>
      </c>
      <c r="G100" s="69">
        <v>200</v>
      </c>
      <c r="H100" s="70">
        <v>7.87</v>
      </c>
      <c r="I100" s="70">
        <f t="shared" si="5"/>
        <v>3.9350000000000003E-2</v>
      </c>
      <c r="J100" s="69" t="s">
        <v>100</v>
      </c>
      <c r="K100" s="69" t="s">
        <v>26</v>
      </c>
      <c r="L100" s="69" t="s">
        <v>2</v>
      </c>
      <c r="M100" s="75" t="s">
        <v>8</v>
      </c>
      <c r="N100" s="75" t="s">
        <v>2</v>
      </c>
      <c r="O100" s="75" t="s">
        <v>701</v>
      </c>
      <c r="P100" s="75" t="s">
        <v>702</v>
      </c>
      <c r="Q100" s="75" t="s">
        <v>704</v>
      </c>
      <c r="R100" s="75" t="s">
        <v>2</v>
      </c>
      <c r="S100" s="75" t="s">
        <v>2</v>
      </c>
      <c r="T100" s="75" t="s">
        <v>2</v>
      </c>
      <c r="U100" s="75" t="s">
        <v>2</v>
      </c>
      <c r="V100" s="75" t="s">
        <v>2</v>
      </c>
      <c r="W100" s="75" t="s">
        <v>2</v>
      </c>
      <c r="X100" s="75" t="s">
        <v>2</v>
      </c>
      <c r="Y100" s="75" t="s">
        <v>717</v>
      </c>
      <c r="Z100" s="69" t="s">
        <v>8</v>
      </c>
      <c r="AA100" s="69" t="s">
        <v>715</v>
      </c>
      <c r="AB100" s="69" t="s">
        <v>715</v>
      </c>
      <c r="AC100" s="69" t="s">
        <v>875</v>
      </c>
      <c r="AD100" s="72">
        <f>Table13[[#This Row],[Carbon footprint per inhaler attributed to propellant PrescQIPP calculated as gCO2e (from PIL or as assigned in the methodology)11-13]]</f>
        <v>18790.2</v>
      </c>
      <c r="AE100" s="75" t="s">
        <v>530</v>
      </c>
      <c r="AF100" s="75" t="s">
        <v>2</v>
      </c>
      <c r="AG100" s="75" t="s">
        <v>809</v>
      </c>
      <c r="AH100" s="75" t="s">
        <v>34</v>
      </c>
      <c r="AI100" s="75" t="s">
        <v>809</v>
      </c>
      <c r="AJ100" s="72" t="str">
        <f>IF(Table13[[#This Row],[Indicative carbon footprint /inhaler (gCO2e) 7,8]]&gt;1796,"High","Low")</f>
        <v>High</v>
      </c>
      <c r="AK100" s="72" t="s">
        <v>46</v>
      </c>
      <c r="AL100" s="72" t="s">
        <v>46</v>
      </c>
      <c r="AM100" s="69" t="s">
        <v>176</v>
      </c>
      <c r="AN100" s="69" t="s">
        <v>177</v>
      </c>
      <c r="AO100" s="87">
        <v>13.14</v>
      </c>
      <c r="AP100" s="88">
        <v>1.8790000000000001E-2</v>
      </c>
      <c r="AQ100" s="89">
        <v>18790.2</v>
      </c>
      <c r="AR100" s="74" t="s">
        <v>181</v>
      </c>
      <c r="AS100" s="69" t="s">
        <v>34</v>
      </c>
      <c r="AT100" s="69" t="s">
        <v>46</v>
      </c>
      <c r="AU100" s="69" t="s">
        <v>46</v>
      </c>
      <c r="AV100" s="69" t="s">
        <v>46</v>
      </c>
      <c r="AW100" s="69" t="s">
        <v>46</v>
      </c>
      <c r="AX100" s="69" t="s">
        <v>46</v>
      </c>
      <c r="AY100" s="69" t="s">
        <v>46</v>
      </c>
      <c r="AZ100" s="69" t="s">
        <v>46</v>
      </c>
      <c r="BA100" s="69" t="s">
        <v>46</v>
      </c>
      <c r="BB100" s="69" t="s">
        <v>46</v>
      </c>
      <c r="BC100" s="69" t="s">
        <v>46</v>
      </c>
      <c r="BD100" s="69" t="s">
        <v>46</v>
      </c>
      <c r="BE100" s="69" t="s">
        <v>46</v>
      </c>
      <c r="BF100" s="69" t="s">
        <v>46</v>
      </c>
      <c r="BG100" s="69" t="s">
        <v>46</v>
      </c>
      <c r="BH100" s="69" t="s">
        <v>46</v>
      </c>
      <c r="BI100" s="69" t="s">
        <v>46</v>
      </c>
      <c r="BJ100" s="69" t="s">
        <v>46</v>
      </c>
      <c r="BK100" s="69" t="s">
        <v>46</v>
      </c>
      <c r="BL100" s="69" t="s">
        <v>46</v>
      </c>
      <c r="BM100" s="75" t="s">
        <v>11</v>
      </c>
      <c r="BN100" s="75" t="s">
        <v>878</v>
      </c>
      <c r="BO100" s="72">
        <v>20350</v>
      </c>
      <c r="BP100" s="72">
        <v>18790.2</v>
      </c>
      <c r="BQ100" s="75" t="s">
        <v>11</v>
      </c>
      <c r="BR100" s="72">
        <f>Table13[[#This Row],[Inhaler carbon footprint per inhaler in v2.37 (gCO2e) ]]-Table13[[#This Row],[Inhaler carbon footprint per inhaler in v2.36 (gCO2e) ]]</f>
        <v>-1559.7999999999993</v>
      </c>
      <c r="BS100" s="72">
        <f>Table13[[#This Row],[Inhaler carbon footprint per inhaler in v2.37 (gCO2e) ]]-Table13[[#This Row],[Inhaler carbon footprint per inhaler in v2.36 (gCO2e) ]]</f>
        <v>-1559.7999999999993</v>
      </c>
    </row>
    <row r="101" spans="1:71" ht="180" x14ac:dyDescent="0.25">
      <c r="A101" s="69" t="s">
        <v>361</v>
      </c>
      <c r="B101" s="69" t="s">
        <v>16</v>
      </c>
      <c r="C101" s="69" t="s">
        <v>305</v>
      </c>
      <c r="D101" s="69" t="s">
        <v>12</v>
      </c>
      <c r="E101" s="69" t="s">
        <v>25</v>
      </c>
      <c r="F101" s="69" t="s">
        <v>127</v>
      </c>
      <c r="G101" s="69">
        <v>200</v>
      </c>
      <c r="H101" s="70">
        <v>16.95</v>
      </c>
      <c r="I101" s="70">
        <f t="shared" si="5"/>
        <v>8.4749999999999992E-2</v>
      </c>
      <c r="J101" s="69" t="s">
        <v>26</v>
      </c>
      <c r="K101" s="69" t="s">
        <v>26</v>
      </c>
      <c r="L101" s="69" t="s">
        <v>2</v>
      </c>
      <c r="M101" s="75" t="s">
        <v>8</v>
      </c>
      <c r="N101" s="75" t="s">
        <v>2</v>
      </c>
      <c r="O101" s="75" t="s">
        <v>700</v>
      </c>
      <c r="P101" s="75" t="s">
        <v>699</v>
      </c>
      <c r="Q101" s="75" t="s">
        <v>705</v>
      </c>
      <c r="R101" s="75" t="s">
        <v>2</v>
      </c>
      <c r="S101" s="75" t="s">
        <v>2</v>
      </c>
      <c r="T101" s="75" t="s">
        <v>2</v>
      </c>
      <c r="U101" s="75" t="s">
        <v>2</v>
      </c>
      <c r="V101" s="75" t="s">
        <v>2</v>
      </c>
      <c r="W101" s="75" t="s">
        <v>2</v>
      </c>
      <c r="X101" s="75" t="s">
        <v>2</v>
      </c>
      <c r="Y101" s="75" t="s">
        <v>717</v>
      </c>
      <c r="Z101" s="69" t="s">
        <v>8</v>
      </c>
      <c r="AA101" s="69" t="s">
        <v>715</v>
      </c>
      <c r="AB101" s="69" t="s">
        <v>715</v>
      </c>
      <c r="AC101" s="69" t="s">
        <v>875</v>
      </c>
      <c r="AD101" s="72">
        <f>Table13[[#This Row],[Carbon footprint per inhaler attributed to propellant PrescQIPP calculated as gCO2e (from PIL or as assigned in the methodology)11-13]]</f>
        <v>25668.5</v>
      </c>
      <c r="AE101" s="75" t="s">
        <v>530</v>
      </c>
      <c r="AF101" s="75" t="s">
        <v>2</v>
      </c>
      <c r="AG101" s="75" t="s">
        <v>809</v>
      </c>
      <c r="AH101" s="75" t="s">
        <v>34</v>
      </c>
      <c r="AI101" s="75" t="s">
        <v>809</v>
      </c>
      <c r="AJ101" s="72" t="str">
        <f>IF(Table13[[#This Row],[Indicative carbon footprint /inhaler (gCO2e) 7,8]]&gt;1796,"High","Low")</f>
        <v>High</v>
      </c>
      <c r="AK101" s="72" t="s">
        <v>46</v>
      </c>
      <c r="AL101" s="72" t="s">
        <v>46</v>
      </c>
      <c r="AM101" s="69" t="s">
        <v>176</v>
      </c>
      <c r="AN101" s="69" t="s">
        <v>177</v>
      </c>
      <c r="AO101" s="87">
        <v>17.95</v>
      </c>
      <c r="AP101" s="88">
        <v>2.5669999999999998E-2</v>
      </c>
      <c r="AQ101" s="89">
        <v>25668.5</v>
      </c>
      <c r="AR101" s="74" t="s">
        <v>182</v>
      </c>
      <c r="AS101" s="69" t="s">
        <v>34</v>
      </c>
      <c r="AT101" s="69" t="s">
        <v>46</v>
      </c>
      <c r="AU101" s="69" t="s">
        <v>46</v>
      </c>
      <c r="AV101" s="69" t="s">
        <v>46</v>
      </c>
      <c r="AW101" s="69" t="s">
        <v>46</v>
      </c>
      <c r="AX101" s="69" t="s">
        <v>46</v>
      </c>
      <c r="AY101" s="69" t="s">
        <v>46</v>
      </c>
      <c r="AZ101" s="69" t="s">
        <v>46</v>
      </c>
      <c r="BA101" s="69" t="s">
        <v>46</v>
      </c>
      <c r="BB101" s="69" t="s">
        <v>46</v>
      </c>
      <c r="BC101" s="69" t="s">
        <v>46</v>
      </c>
      <c r="BD101" s="69" t="s">
        <v>46</v>
      </c>
      <c r="BE101" s="69" t="s">
        <v>46</v>
      </c>
      <c r="BF101" s="69" t="s">
        <v>46</v>
      </c>
      <c r="BG101" s="69" t="s">
        <v>46</v>
      </c>
      <c r="BH101" s="69" t="s">
        <v>46</v>
      </c>
      <c r="BI101" s="69" t="s">
        <v>46</v>
      </c>
      <c r="BJ101" s="69" t="s">
        <v>46</v>
      </c>
      <c r="BK101" s="69" t="s">
        <v>46</v>
      </c>
      <c r="BL101" s="69" t="s">
        <v>46</v>
      </c>
      <c r="BM101" s="75" t="s">
        <v>11</v>
      </c>
      <c r="BN101" s="75" t="s">
        <v>877</v>
      </c>
      <c r="BO101" s="72">
        <v>20350</v>
      </c>
      <c r="BP101" s="72">
        <v>25668.5</v>
      </c>
      <c r="BQ101" s="75" t="s">
        <v>11</v>
      </c>
      <c r="BR101" s="72">
        <f>Table13[[#This Row],[Inhaler carbon footprint per inhaler in v2.37 (gCO2e) ]]-Table13[[#This Row],[Inhaler carbon footprint per inhaler in v2.36 (gCO2e) ]]</f>
        <v>5318.5</v>
      </c>
      <c r="BS101" s="72">
        <f>Table13[[#This Row],[Inhaler carbon footprint per inhaler in v2.37 (gCO2e) ]]-Table13[[#This Row],[Inhaler carbon footprint per inhaler in v2.36 (gCO2e) ]]</f>
        <v>5318.5</v>
      </c>
    </row>
    <row r="102" spans="1:71" ht="180" x14ac:dyDescent="0.25">
      <c r="A102" s="69" t="s">
        <v>362</v>
      </c>
      <c r="B102" s="69" t="s">
        <v>16</v>
      </c>
      <c r="C102" s="69" t="s">
        <v>311</v>
      </c>
      <c r="D102" s="69" t="s">
        <v>12</v>
      </c>
      <c r="E102" s="69" t="s">
        <v>25</v>
      </c>
      <c r="F102" s="69" t="s">
        <v>127</v>
      </c>
      <c r="G102" s="69">
        <v>200</v>
      </c>
      <c r="H102" s="70">
        <v>7.74</v>
      </c>
      <c r="I102" s="70">
        <f t="shared" si="5"/>
        <v>3.8699999999999998E-2</v>
      </c>
      <c r="J102" s="69" t="s">
        <v>26</v>
      </c>
      <c r="K102" s="69" t="s">
        <v>26</v>
      </c>
      <c r="L102" s="69" t="s">
        <v>2</v>
      </c>
      <c r="M102" s="75" t="s">
        <v>8</v>
      </c>
      <c r="N102" s="75" t="s">
        <v>2</v>
      </c>
      <c r="O102" s="75" t="s">
        <v>701</v>
      </c>
      <c r="P102" s="75" t="s">
        <v>702</v>
      </c>
      <c r="Q102" s="75" t="s">
        <v>704</v>
      </c>
      <c r="R102" s="75" t="s">
        <v>2</v>
      </c>
      <c r="S102" s="75" t="s">
        <v>2</v>
      </c>
      <c r="T102" s="75" t="s">
        <v>2</v>
      </c>
      <c r="U102" s="75" t="s">
        <v>2</v>
      </c>
      <c r="V102" s="75" t="s">
        <v>2</v>
      </c>
      <c r="W102" s="75" t="s">
        <v>2</v>
      </c>
      <c r="X102" s="75" t="s">
        <v>2</v>
      </c>
      <c r="Y102" s="75" t="s">
        <v>717</v>
      </c>
      <c r="Z102" s="69" t="s">
        <v>8</v>
      </c>
      <c r="AA102" s="69" t="s">
        <v>715</v>
      </c>
      <c r="AB102" s="69" t="s">
        <v>715</v>
      </c>
      <c r="AC102" s="69" t="s">
        <v>875</v>
      </c>
      <c r="AD102" s="72">
        <f>Table13[[#This Row],[Carbon footprint per inhaler attributed to propellant PrescQIPP calculated as gCO2e (from PIL or as assigned in the methodology)11-13]]</f>
        <v>26034.579999999998</v>
      </c>
      <c r="AE102" s="75" t="s">
        <v>530</v>
      </c>
      <c r="AF102" s="75" t="s">
        <v>2</v>
      </c>
      <c r="AG102" s="75" t="s">
        <v>809</v>
      </c>
      <c r="AH102" s="75" t="s">
        <v>34</v>
      </c>
      <c r="AI102" s="75" t="s">
        <v>809</v>
      </c>
      <c r="AJ102" s="72" t="str">
        <f>IF(Table13[[#This Row],[Indicative carbon footprint /inhaler (gCO2e) 7,8]]&gt;1796,"High","Low")</f>
        <v>High</v>
      </c>
      <c r="AK102" s="72" t="s">
        <v>46</v>
      </c>
      <c r="AL102" s="72" t="s">
        <v>46</v>
      </c>
      <c r="AM102" s="69" t="s">
        <v>176</v>
      </c>
      <c r="AN102" s="69" t="s">
        <v>177</v>
      </c>
      <c r="AO102" s="87">
        <v>18.206</v>
      </c>
      <c r="AP102" s="88">
        <v>2.63E-2</v>
      </c>
      <c r="AQ102" s="89">
        <f>1430*Table13[[#This Row],[Amount of propellant per inhaler (from PIL) (g)12-13]]</f>
        <v>26034.579999999998</v>
      </c>
      <c r="AR102" s="74" t="s">
        <v>183</v>
      </c>
      <c r="AS102" s="69" t="s">
        <v>34</v>
      </c>
      <c r="AT102" s="69" t="s">
        <v>46</v>
      </c>
      <c r="AU102" s="69" t="s">
        <v>46</v>
      </c>
      <c r="AV102" s="69" t="s">
        <v>46</v>
      </c>
      <c r="AW102" s="69" t="s">
        <v>46</v>
      </c>
      <c r="AX102" s="69" t="s">
        <v>46</v>
      </c>
      <c r="AY102" s="69" t="s">
        <v>46</v>
      </c>
      <c r="AZ102" s="69" t="s">
        <v>46</v>
      </c>
      <c r="BA102" s="69" t="s">
        <v>46</v>
      </c>
      <c r="BB102" s="69" t="s">
        <v>46</v>
      </c>
      <c r="BC102" s="69" t="s">
        <v>46</v>
      </c>
      <c r="BD102" s="69" t="s">
        <v>46</v>
      </c>
      <c r="BE102" s="69" t="s">
        <v>46</v>
      </c>
      <c r="BF102" s="69" t="s">
        <v>46</v>
      </c>
      <c r="BG102" s="69" t="s">
        <v>46</v>
      </c>
      <c r="BH102" s="69" t="s">
        <v>46</v>
      </c>
      <c r="BI102" s="69" t="s">
        <v>46</v>
      </c>
      <c r="BJ102" s="69" t="s">
        <v>46</v>
      </c>
      <c r="BK102" s="69" t="s">
        <v>46</v>
      </c>
      <c r="BL102" s="69" t="s">
        <v>46</v>
      </c>
      <c r="BM102" s="75" t="s">
        <v>11</v>
      </c>
      <c r="BN102" s="75" t="s">
        <v>877</v>
      </c>
      <c r="BO102" s="72">
        <v>20350</v>
      </c>
      <c r="BP102" s="72">
        <v>26034.579999999998</v>
      </c>
      <c r="BQ102" s="75" t="s">
        <v>11</v>
      </c>
      <c r="BR102" s="72">
        <f>Table13[[#This Row],[Inhaler carbon footprint per inhaler in v2.37 (gCO2e) ]]-Table13[[#This Row],[Inhaler carbon footprint per inhaler in v2.36 (gCO2e) ]]</f>
        <v>5684.5799999999981</v>
      </c>
      <c r="BS102" s="72">
        <f>Table13[[#This Row],[Inhaler carbon footprint per inhaler in v2.37 (gCO2e) ]]-Table13[[#This Row],[Inhaler carbon footprint per inhaler in v2.36 (gCO2e) ]]</f>
        <v>5684.5799999999981</v>
      </c>
    </row>
    <row r="103" spans="1:71" ht="330" x14ac:dyDescent="0.25">
      <c r="A103" s="69" t="s">
        <v>187</v>
      </c>
      <c r="B103" s="69" t="s">
        <v>30</v>
      </c>
      <c r="C103" s="69" t="s">
        <v>762</v>
      </c>
      <c r="D103" s="69" t="s">
        <v>12</v>
      </c>
      <c r="E103" s="69" t="s">
        <v>6</v>
      </c>
      <c r="F103" s="69" t="s">
        <v>3</v>
      </c>
      <c r="G103" s="69">
        <v>30</v>
      </c>
      <c r="H103" s="70">
        <v>29.5</v>
      </c>
      <c r="I103" s="70">
        <f t="shared" si="5"/>
        <v>0.98333333333333328</v>
      </c>
      <c r="J103" s="69" t="s">
        <v>26</v>
      </c>
      <c r="K103" s="69" t="s">
        <v>26</v>
      </c>
      <c r="L103" s="69" t="s">
        <v>8</v>
      </c>
      <c r="M103" s="69" t="s">
        <v>8</v>
      </c>
      <c r="N103" s="69" t="s">
        <v>2</v>
      </c>
      <c r="O103" s="69" t="s">
        <v>2</v>
      </c>
      <c r="P103" s="69" t="s">
        <v>2</v>
      </c>
      <c r="Q103" s="75" t="s">
        <v>2</v>
      </c>
      <c r="R103" s="69" t="s">
        <v>2</v>
      </c>
      <c r="S103" s="69" t="s">
        <v>2</v>
      </c>
      <c r="T103" s="69" t="s">
        <v>706</v>
      </c>
      <c r="U103" s="75" t="s">
        <v>2</v>
      </c>
      <c r="V103" s="75" t="s">
        <v>2</v>
      </c>
      <c r="W103" s="75" t="s">
        <v>2</v>
      </c>
      <c r="X103" s="75" t="s">
        <v>2</v>
      </c>
      <c r="Y103" s="75" t="s">
        <v>721</v>
      </c>
      <c r="Z103" s="69" t="s">
        <v>79</v>
      </c>
      <c r="AA103" s="69" t="s">
        <v>714</v>
      </c>
      <c r="AB103" s="69" t="s">
        <v>922</v>
      </c>
      <c r="AC103" s="69" t="s">
        <v>921</v>
      </c>
      <c r="AD103" s="72">
        <v>754</v>
      </c>
      <c r="AE103" s="75" t="s">
        <v>9</v>
      </c>
      <c r="AF103" s="75" t="s">
        <v>46</v>
      </c>
      <c r="AG103" s="75" t="s">
        <v>46</v>
      </c>
      <c r="AH103" s="75" t="s">
        <v>46</v>
      </c>
      <c r="AI103" s="75" t="s">
        <v>46</v>
      </c>
      <c r="AJ103" s="72" t="str">
        <f>IF(Table13[[#This Row],[Indicative carbon footprint /inhaler (gCO2e) 7,8]]&gt;1796,"High","Low")</f>
        <v>Low</v>
      </c>
      <c r="AK103" s="75" t="s">
        <v>46</v>
      </c>
      <c r="AL103" s="72" t="s">
        <v>46</v>
      </c>
      <c r="AM103" s="69"/>
      <c r="AN103" s="69" t="s">
        <v>2</v>
      </c>
      <c r="AO103" s="69" t="s">
        <v>2</v>
      </c>
      <c r="AP103" s="69" t="s">
        <v>2</v>
      </c>
      <c r="AQ103" s="69" t="s">
        <v>2</v>
      </c>
      <c r="AR103" s="74" t="s">
        <v>188</v>
      </c>
      <c r="AS103" s="69" t="s">
        <v>34</v>
      </c>
      <c r="AT103" s="69" t="s">
        <v>35</v>
      </c>
      <c r="AU103" s="69">
        <v>11</v>
      </c>
      <c r="AV103" s="69">
        <v>235</v>
      </c>
      <c r="AW103" s="69" t="s">
        <v>422</v>
      </c>
      <c r="AX103" s="69" t="s">
        <v>272</v>
      </c>
      <c r="AY103" s="69">
        <v>355</v>
      </c>
      <c r="AZ103" s="69" t="s">
        <v>423</v>
      </c>
      <c r="BA103" s="69" t="s">
        <v>423</v>
      </c>
      <c r="BB103" s="69">
        <v>29</v>
      </c>
      <c r="BC103" s="69">
        <v>62</v>
      </c>
      <c r="BD103" s="69">
        <v>52</v>
      </c>
      <c r="BE103" s="69" t="s">
        <v>46</v>
      </c>
      <c r="BF103" s="69" t="s">
        <v>2</v>
      </c>
      <c r="BG103" s="69" t="s">
        <v>2</v>
      </c>
      <c r="BH103" s="69" t="s">
        <v>2</v>
      </c>
      <c r="BI103" s="69" t="s">
        <v>2</v>
      </c>
      <c r="BJ103" s="69" t="s">
        <v>2</v>
      </c>
      <c r="BK103" s="69" t="s">
        <v>2</v>
      </c>
      <c r="BL103" s="69" t="s">
        <v>36</v>
      </c>
      <c r="BM103" s="75" t="s">
        <v>843</v>
      </c>
      <c r="BN103" s="75" t="s">
        <v>2</v>
      </c>
      <c r="BO103" s="72">
        <v>754</v>
      </c>
      <c r="BP103" s="72">
        <v>754</v>
      </c>
      <c r="BQ103" s="75" t="s">
        <v>34</v>
      </c>
      <c r="BR103" s="72">
        <f>Table13[[#This Row],[Inhaler carbon footprint per inhaler in v2.37 (gCO2e) ]]-Table13[[#This Row],[Inhaler carbon footprint per inhaler in v2.36 (gCO2e) ]]</f>
        <v>0</v>
      </c>
      <c r="BS103" s="72" t="s">
        <v>809</v>
      </c>
    </row>
    <row r="104" spans="1:71" ht="330" x14ac:dyDescent="0.25">
      <c r="A104" s="69" t="s">
        <v>189</v>
      </c>
      <c r="B104" s="69" t="s">
        <v>30</v>
      </c>
      <c r="C104" s="69" t="s">
        <v>763</v>
      </c>
      <c r="D104" s="69" t="s">
        <v>5</v>
      </c>
      <c r="E104" s="69" t="s">
        <v>6</v>
      </c>
      <c r="F104" s="69" t="s">
        <v>3</v>
      </c>
      <c r="G104" s="69">
        <v>30</v>
      </c>
      <c r="H104" s="70">
        <v>22</v>
      </c>
      <c r="I104" s="70">
        <f t="shared" si="5"/>
        <v>0.73333333333333328</v>
      </c>
      <c r="J104" s="69" t="s">
        <v>26</v>
      </c>
      <c r="K104" s="69" t="s">
        <v>26</v>
      </c>
      <c r="L104" s="69" t="s">
        <v>8</v>
      </c>
      <c r="M104" s="69" t="s">
        <v>8</v>
      </c>
      <c r="N104" s="69" t="s">
        <v>2</v>
      </c>
      <c r="O104" s="69" t="s">
        <v>2</v>
      </c>
      <c r="P104" s="69" t="s">
        <v>2</v>
      </c>
      <c r="Q104" s="75" t="s">
        <v>2</v>
      </c>
      <c r="R104" s="69" t="s">
        <v>2</v>
      </c>
      <c r="S104" s="69" t="s">
        <v>706</v>
      </c>
      <c r="T104" s="69" t="s">
        <v>2</v>
      </c>
      <c r="U104" s="75" t="s">
        <v>2</v>
      </c>
      <c r="V104" s="75" t="s">
        <v>2</v>
      </c>
      <c r="W104" s="75" t="s">
        <v>2</v>
      </c>
      <c r="X104" s="75" t="s">
        <v>2</v>
      </c>
      <c r="Y104" s="75" t="s">
        <v>721</v>
      </c>
      <c r="Z104" s="69" t="s">
        <v>79</v>
      </c>
      <c r="AA104" s="69" t="s">
        <v>714</v>
      </c>
      <c r="AB104" s="69" t="s">
        <v>922</v>
      </c>
      <c r="AC104" s="69" t="s">
        <v>921</v>
      </c>
      <c r="AD104" s="72">
        <v>754</v>
      </c>
      <c r="AE104" s="75" t="s">
        <v>9</v>
      </c>
      <c r="AF104" s="75" t="s">
        <v>46</v>
      </c>
      <c r="AG104" s="75" t="s">
        <v>46</v>
      </c>
      <c r="AH104" s="75" t="s">
        <v>46</v>
      </c>
      <c r="AI104" s="75" t="s">
        <v>46</v>
      </c>
      <c r="AJ104" s="72" t="str">
        <f>IF(Table13[[#This Row],[Indicative carbon footprint /inhaler (gCO2e) 7,8]]&gt;1796,"High","Low")</f>
        <v>Low</v>
      </c>
      <c r="AK104" s="75" t="s">
        <v>46</v>
      </c>
      <c r="AL104" s="72" t="s">
        <v>46</v>
      </c>
      <c r="AM104" s="69"/>
      <c r="AN104" s="69" t="s">
        <v>2</v>
      </c>
      <c r="AO104" s="69" t="s">
        <v>2</v>
      </c>
      <c r="AP104" s="69" t="s">
        <v>2</v>
      </c>
      <c r="AQ104" s="69" t="s">
        <v>2</v>
      </c>
      <c r="AR104" s="74" t="s">
        <v>190</v>
      </c>
      <c r="AS104" s="69" t="s">
        <v>34</v>
      </c>
      <c r="AT104" s="69" t="s">
        <v>35</v>
      </c>
      <c r="AU104" s="69">
        <v>11</v>
      </c>
      <c r="AV104" s="69">
        <v>235</v>
      </c>
      <c r="AW104" s="69" t="s">
        <v>422</v>
      </c>
      <c r="AX104" s="69" t="s">
        <v>272</v>
      </c>
      <c r="AY104" s="69">
        <v>355</v>
      </c>
      <c r="AZ104" s="69" t="s">
        <v>423</v>
      </c>
      <c r="BA104" s="69" t="s">
        <v>423</v>
      </c>
      <c r="BB104" s="69">
        <v>29</v>
      </c>
      <c r="BC104" s="69">
        <v>62</v>
      </c>
      <c r="BD104" s="69">
        <v>52</v>
      </c>
      <c r="BE104" s="69" t="s">
        <v>46</v>
      </c>
      <c r="BF104" s="69" t="s">
        <v>2</v>
      </c>
      <c r="BG104" s="69" t="s">
        <v>2</v>
      </c>
      <c r="BH104" s="69" t="s">
        <v>2</v>
      </c>
      <c r="BI104" s="69" t="s">
        <v>2</v>
      </c>
      <c r="BJ104" s="69" t="s">
        <v>2</v>
      </c>
      <c r="BK104" s="69" t="s">
        <v>2</v>
      </c>
      <c r="BL104" s="69" t="s">
        <v>36</v>
      </c>
      <c r="BM104" s="75" t="s">
        <v>843</v>
      </c>
      <c r="BN104" s="75" t="s">
        <v>2</v>
      </c>
      <c r="BO104" s="72">
        <v>754</v>
      </c>
      <c r="BP104" s="72">
        <v>754</v>
      </c>
      <c r="BQ104" s="75" t="s">
        <v>34</v>
      </c>
      <c r="BR104" s="72">
        <f>Table13[[#This Row],[Inhaler carbon footprint per inhaler in v2.37 (gCO2e) ]]-Table13[[#This Row],[Inhaler carbon footprint per inhaler in v2.36 (gCO2e) ]]</f>
        <v>0</v>
      </c>
      <c r="BS104" s="72" t="s">
        <v>809</v>
      </c>
    </row>
    <row r="105" spans="1:71" ht="60" x14ac:dyDescent="0.25">
      <c r="A105" s="69" t="s">
        <v>363</v>
      </c>
      <c r="B105" s="69" t="s">
        <v>16</v>
      </c>
      <c r="C105" s="69" t="s">
        <v>286</v>
      </c>
      <c r="D105" s="69" t="s">
        <v>17</v>
      </c>
      <c r="E105" s="69" t="s">
        <v>18</v>
      </c>
      <c r="F105" s="69" t="s">
        <v>13</v>
      </c>
      <c r="G105" s="69">
        <v>200</v>
      </c>
      <c r="H105" s="70">
        <v>1.46</v>
      </c>
      <c r="I105" s="70">
        <f t="shared" si="5"/>
        <v>7.3000000000000001E-3</v>
      </c>
      <c r="J105" s="69" t="s">
        <v>19</v>
      </c>
      <c r="K105" s="69" t="s">
        <v>76</v>
      </c>
      <c r="L105" s="69" t="s">
        <v>2</v>
      </c>
      <c r="M105" s="75" t="s">
        <v>8</v>
      </c>
      <c r="N105" s="75" t="s">
        <v>2</v>
      </c>
      <c r="O105" s="75" t="s">
        <v>2</v>
      </c>
      <c r="P105" s="75" t="s">
        <v>2</v>
      </c>
      <c r="Q105" s="75" t="s">
        <v>2</v>
      </c>
      <c r="R105" s="75" t="s">
        <v>2</v>
      </c>
      <c r="S105" s="75" t="s">
        <v>2</v>
      </c>
      <c r="T105" s="75" t="s">
        <v>2</v>
      </c>
      <c r="U105" s="75" t="s">
        <v>2</v>
      </c>
      <c r="V105" s="75" t="s">
        <v>2</v>
      </c>
      <c r="W105" s="75" t="s">
        <v>2</v>
      </c>
      <c r="X105" s="75" t="s">
        <v>2</v>
      </c>
      <c r="Y105" s="75" t="s">
        <v>2</v>
      </c>
      <c r="Z105" s="69" t="s">
        <v>8</v>
      </c>
      <c r="AA105" s="69" t="s">
        <v>715</v>
      </c>
      <c r="AB105" s="69" t="s">
        <v>715</v>
      </c>
      <c r="AC105" s="81" t="s">
        <v>876</v>
      </c>
      <c r="AD105" s="72">
        <f>Table13[[#This Row],[Carbon footprint per inhaler attributed to propellant PrescQIPP calculated as gCO2e (from PIL or as assigned in the methodology)11-13]]</f>
        <v>10725</v>
      </c>
      <c r="AE105" s="75" t="s">
        <v>530</v>
      </c>
      <c r="AF105" s="75" t="s">
        <v>2</v>
      </c>
      <c r="AG105" s="75" t="s">
        <v>809</v>
      </c>
      <c r="AH105" s="75" t="s">
        <v>34</v>
      </c>
      <c r="AI105" s="75" t="s">
        <v>809</v>
      </c>
      <c r="AJ105" s="72" t="str">
        <f>IF(Table13[[#This Row],[Indicative carbon footprint /inhaler (gCO2e) 7,8]]&gt;1796,"High","Low")</f>
        <v>High</v>
      </c>
      <c r="AK105" s="72" t="s">
        <v>46</v>
      </c>
      <c r="AL105" s="72" t="s">
        <v>46</v>
      </c>
      <c r="AM105" s="69"/>
      <c r="AN105" s="69" t="s">
        <v>177</v>
      </c>
      <c r="AO105" s="87">
        <v>7.5</v>
      </c>
      <c r="AP105" s="88">
        <v>1.073E-2</v>
      </c>
      <c r="AQ105" s="89">
        <f>1430*Table13[[#This Row],[Amount of propellant per inhaler (from PIL) (g)12-13]]</f>
        <v>10725</v>
      </c>
      <c r="AR105" s="74" t="s">
        <v>191</v>
      </c>
      <c r="AS105" s="69" t="s">
        <v>34</v>
      </c>
      <c r="AT105" s="69" t="s">
        <v>46</v>
      </c>
      <c r="AU105" s="69" t="s">
        <v>46</v>
      </c>
      <c r="AV105" s="69" t="s">
        <v>46</v>
      </c>
      <c r="AW105" s="69" t="s">
        <v>46</v>
      </c>
      <c r="AX105" s="69" t="s">
        <v>46</v>
      </c>
      <c r="AY105" s="69" t="s">
        <v>46</v>
      </c>
      <c r="AZ105" s="69" t="s">
        <v>46</v>
      </c>
      <c r="BA105" s="69" t="s">
        <v>46</v>
      </c>
      <c r="BB105" s="69" t="s">
        <v>46</v>
      </c>
      <c r="BC105" s="69" t="s">
        <v>46</v>
      </c>
      <c r="BD105" s="69" t="s">
        <v>46</v>
      </c>
      <c r="BE105" s="69" t="s">
        <v>46</v>
      </c>
      <c r="BF105" s="69" t="s">
        <v>46</v>
      </c>
      <c r="BG105" s="69" t="s">
        <v>46</v>
      </c>
      <c r="BH105" s="69" t="s">
        <v>46</v>
      </c>
      <c r="BI105" s="69" t="s">
        <v>46</v>
      </c>
      <c r="BJ105" s="69" t="s">
        <v>46</v>
      </c>
      <c r="BK105" s="69" t="s">
        <v>46</v>
      </c>
      <c r="BL105" s="69" t="s">
        <v>46</v>
      </c>
      <c r="BM105" s="75" t="s">
        <v>11</v>
      </c>
      <c r="BN105" s="75" t="s">
        <v>878</v>
      </c>
      <c r="BO105" s="72">
        <v>11950</v>
      </c>
      <c r="BP105" s="72">
        <v>10725</v>
      </c>
      <c r="BQ105" s="75" t="s">
        <v>11</v>
      </c>
      <c r="BR105" s="72">
        <f>Table13[[#This Row],[Inhaler carbon footprint per inhaler in v2.37 (gCO2e) ]]-Table13[[#This Row],[Inhaler carbon footprint per inhaler in v2.36 (gCO2e) ]]</f>
        <v>-1225</v>
      </c>
      <c r="BS105" s="72">
        <f>Table13[[#This Row],[Inhaler carbon footprint per inhaler in v2.37 (gCO2e) ]]-Table13[[#This Row],[Inhaler carbon footprint per inhaler in v2.36 (gCO2e) ]]</f>
        <v>-1225</v>
      </c>
    </row>
    <row r="106" spans="1:71" ht="60" x14ac:dyDescent="0.25">
      <c r="A106" s="69" t="s">
        <v>364</v>
      </c>
      <c r="B106" s="69" t="s">
        <v>16</v>
      </c>
      <c r="C106" s="69" t="s">
        <v>286</v>
      </c>
      <c r="D106" s="69" t="s">
        <v>17</v>
      </c>
      <c r="E106" s="69" t="s">
        <v>18</v>
      </c>
      <c r="F106" s="69" t="s">
        <v>127</v>
      </c>
      <c r="G106" s="69">
        <v>200</v>
      </c>
      <c r="H106" s="70">
        <v>6.3</v>
      </c>
      <c r="I106" s="70">
        <f t="shared" si="5"/>
        <v>3.15E-2</v>
      </c>
      <c r="J106" s="69" t="s">
        <v>19</v>
      </c>
      <c r="K106" s="69" t="s">
        <v>76</v>
      </c>
      <c r="L106" s="69" t="s">
        <v>2</v>
      </c>
      <c r="M106" s="75" t="s">
        <v>8</v>
      </c>
      <c r="N106" s="75" t="s">
        <v>2</v>
      </c>
      <c r="O106" s="75" t="s">
        <v>2</v>
      </c>
      <c r="P106" s="75" t="s">
        <v>2</v>
      </c>
      <c r="Q106" s="75" t="s">
        <v>2</v>
      </c>
      <c r="R106" s="75" t="s">
        <v>2</v>
      </c>
      <c r="S106" s="75" t="s">
        <v>2</v>
      </c>
      <c r="T106" s="75" t="s">
        <v>2</v>
      </c>
      <c r="U106" s="75" t="s">
        <v>2</v>
      </c>
      <c r="V106" s="75" t="s">
        <v>2</v>
      </c>
      <c r="W106" s="75" t="s">
        <v>2</v>
      </c>
      <c r="X106" s="75" t="s">
        <v>2</v>
      </c>
      <c r="Y106" s="75" t="s">
        <v>2</v>
      </c>
      <c r="Z106" s="69" t="s">
        <v>8</v>
      </c>
      <c r="AA106" s="69" t="s">
        <v>715</v>
      </c>
      <c r="AB106" s="69" t="s">
        <v>715</v>
      </c>
      <c r="AC106" s="81" t="s">
        <v>876</v>
      </c>
      <c r="AD106" s="72">
        <f>Table13[[#This Row],[Carbon footprint per inhaler attributed to propellant PrescQIPP calculated as gCO2e (from PIL or as assigned in the methodology)11-13]]</f>
        <v>10725</v>
      </c>
      <c r="AE106" s="75" t="s">
        <v>530</v>
      </c>
      <c r="AF106" s="75" t="s">
        <v>2</v>
      </c>
      <c r="AG106" s="75" t="s">
        <v>809</v>
      </c>
      <c r="AH106" s="75" t="s">
        <v>34</v>
      </c>
      <c r="AI106" s="75" t="s">
        <v>809</v>
      </c>
      <c r="AJ106" s="72" t="str">
        <f>IF(Table13[[#This Row],[Indicative carbon footprint /inhaler (gCO2e) 7,8]]&gt;1796,"High","Low")</f>
        <v>High</v>
      </c>
      <c r="AK106" s="72" t="s">
        <v>46</v>
      </c>
      <c r="AL106" s="72" t="s">
        <v>46</v>
      </c>
      <c r="AM106" s="69"/>
      <c r="AN106" s="69" t="s">
        <v>177</v>
      </c>
      <c r="AO106" s="87">
        <v>7.5</v>
      </c>
      <c r="AP106" s="88">
        <v>1.0725E-2</v>
      </c>
      <c r="AQ106" s="89">
        <v>10725</v>
      </c>
      <c r="AR106" s="74" t="s">
        <v>192</v>
      </c>
      <c r="AS106" s="69" t="s">
        <v>34</v>
      </c>
      <c r="AT106" s="69" t="s">
        <v>46</v>
      </c>
      <c r="AU106" s="69" t="s">
        <v>46</v>
      </c>
      <c r="AV106" s="69" t="s">
        <v>46</v>
      </c>
      <c r="AW106" s="69" t="s">
        <v>46</v>
      </c>
      <c r="AX106" s="69" t="s">
        <v>46</v>
      </c>
      <c r="AY106" s="69" t="s">
        <v>46</v>
      </c>
      <c r="AZ106" s="69" t="s">
        <v>46</v>
      </c>
      <c r="BA106" s="69" t="s">
        <v>46</v>
      </c>
      <c r="BB106" s="69" t="s">
        <v>46</v>
      </c>
      <c r="BC106" s="69" t="s">
        <v>46</v>
      </c>
      <c r="BD106" s="69" t="s">
        <v>46</v>
      </c>
      <c r="BE106" s="69" t="s">
        <v>46</v>
      </c>
      <c r="BF106" s="69" t="s">
        <v>46</v>
      </c>
      <c r="BG106" s="69" t="s">
        <v>46</v>
      </c>
      <c r="BH106" s="69" t="s">
        <v>46</v>
      </c>
      <c r="BI106" s="69" t="s">
        <v>46</v>
      </c>
      <c r="BJ106" s="69" t="s">
        <v>46</v>
      </c>
      <c r="BK106" s="69" t="s">
        <v>46</v>
      </c>
      <c r="BL106" s="69" t="s">
        <v>46</v>
      </c>
      <c r="BM106" s="75" t="s">
        <v>11</v>
      </c>
      <c r="BN106" s="75" t="s">
        <v>878</v>
      </c>
      <c r="BO106" s="72">
        <v>12080</v>
      </c>
      <c r="BP106" s="72">
        <v>10725</v>
      </c>
      <c r="BQ106" s="75" t="s">
        <v>11</v>
      </c>
      <c r="BR106" s="72">
        <f>Table13[[#This Row],[Inhaler carbon footprint per inhaler in v2.37 (gCO2e) ]]-Table13[[#This Row],[Inhaler carbon footprint per inhaler in v2.36 (gCO2e) ]]</f>
        <v>-1355</v>
      </c>
      <c r="BS106" s="72">
        <f>Table13[[#This Row],[Inhaler carbon footprint per inhaler in v2.37 (gCO2e) ]]-Table13[[#This Row],[Inhaler carbon footprint per inhaler in v2.36 (gCO2e) ]]</f>
        <v>-1355</v>
      </c>
    </row>
    <row r="107" spans="1:71" ht="180" x14ac:dyDescent="0.25">
      <c r="A107" s="69" t="s">
        <v>1107</v>
      </c>
      <c r="B107" s="75" t="s">
        <v>892</v>
      </c>
      <c r="C107" s="69" t="s">
        <v>483</v>
      </c>
      <c r="D107" s="69" t="s">
        <v>17</v>
      </c>
      <c r="E107" s="69" t="s">
        <v>18</v>
      </c>
      <c r="F107" s="69" t="s">
        <v>3</v>
      </c>
      <c r="G107" s="69">
        <v>200</v>
      </c>
      <c r="H107" s="70">
        <v>2.75</v>
      </c>
      <c r="I107" s="70">
        <f t="shared" si="5"/>
        <v>1.375E-2</v>
      </c>
      <c r="J107" s="69" t="s">
        <v>57</v>
      </c>
      <c r="K107" s="69" t="s">
        <v>193</v>
      </c>
      <c r="L107" s="69" t="s">
        <v>2</v>
      </c>
      <c r="M107" s="75" t="s">
        <v>8</v>
      </c>
      <c r="N107" s="75" t="s">
        <v>2</v>
      </c>
      <c r="O107" s="75" t="s">
        <v>2</v>
      </c>
      <c r="P107" s="75" t="s">
        <v>2</v>
      </c>
      <c r="Q107" s="75" t="s">
        <v>2</v>
      </c>
      <c r="R107" s="75" t="s">
        <v>2</v>
      </c>
      <c r="S107" s="75" t="s">
        <v>2</v>
      </c>
      <c r="T107" s="75" t="s">
        <v>2</v>
      </c>
      <c r="U107" s="75" t="s">
        <v>2</v>
      </c>
      <c r="V107" s="75" t="s">
        <v>2</v>
      </c>
      <c r="W107" s="75" t="s">
        <v>2</v>
      </c>
      <c r="X107" s="75" t="s">
        <v>2</v>
      </c>
      <c r="Y107" s="75" t="s">
        <v>2</v>
      </c>
      <c r="Z107" s="69" t="s">
        <v>79</v>
      </c>
      <c r="AA107" s="69" t="s">
        <v>923</v>
      </c>
      <c r="AB107" s="69" t="s">
        <v>924</v>
      </c>
      <c r="AC107" s="69" t="s">
        <v>925</v>
      </c>
      <c r="AD107" s="72">
        <v>667</v>
      </c>
      <c r="AE107" s="75" t="s">
        <v>964</v>
      </c>
      <c r="AF107" s="75" t="s">
        <v>46</v>
      </c>
      <c r="AG107" s="75" t="s">
        <v>46</v>
      </c>
      <c r="AH107" s="75" t="s">
        <v>46</v>
      </c>
      <c r="AI107" s="75" t="s">
        <v>46</v>
      </c>
      <c r="AJ107" s="72" t="str">
        <f>IF(Table13[[#This Row],[Indicative carbon footprint /inhaler (gCO2e) 7,8]]&gt;1796,"High","Low")</f>
        <v>Low</v>
      </c>
      <c r="AK107" s="75" t="s">
        <v>46</v>
      </c>
      <c r="AL107" s="72" t="s">
        <v>46</v>
      </c>
      <c r="AM107" s="70"/>
      <c r="AN107" s="69" t="s">
        <v>2</v>
      </c>
      <c r="AO107" s="69" t="s">
        <v>2</v>
      </c>
      <c r="AP107" s="69" t="s">
        <v>2</v>
      </c>
      <c r="AQ107" s="69" t="s">
        <v>2</v>
      </c>
      <c r="AR107" s="74" t="s">
        <v>544</v>
      </c>
      <c r="AS107" s="69" t="s">
        <v>34</v>
      </c>
      <c r="AT107" s="69" t="s">
        <v>46</v>
      </c>
      <c r="AU107" s="69" t="s">
        <v>46</v>
      </c>
      <c r="AV107" s="69" t="s">
        <v>46</v>
      </c>
      <c r="AW107" s="69" t="s">
        <v>46</v>
      </c>
      <c r="AX107" s="69" t="s">
        <v>46</v>
      </c>
      <c r="AY107" s="69" t="s">
        <v>46</v>
      </c>
      <c r="AZ107" s="69" t="s">
        <v>46</v>
      </c>
      <c r="BA107" s="69" t="s">
        <v>46</v>
      </c>
      <c r="BB107" s="69" t="s">
        <v>46</v>
      </c>
      <c r="BC107" s="69" t="s">
        <v>46</v>
      </c>
      <c r="BD107" s="69" t="s">
        <v>46</v>
      </c>
      <c r="BE107" s="69" t="s">
        <v>46</v>
      </c>
      <c r="BF107" s="69" t="s">
        <v>2</v>
      </c>
      <c r="BG107" s="69" t="s">
        <v>2</v>
      </c>
      <c r="BH107" s="69" t="s">
        <v>2</v>
      </c>
      <c r="BI107" s="69" t="s">
        <v>2</v>
      </c>
      <c r="BJ107" s="69" t="s">
        <v>2</v>
      </c>
      <c r="BK107" s="69" t="s">
        <v>2</v>
      </c>
      <c r="BL107" s="69" t="s">
        <v>46</v>
      </c>
      <c r="BM107" s="75" t="s">
        <v>843</v>
      </c>
      <c r="BN107" s="75" t="s">
        <v>2</v>
      </c>
      <c r="BO107" s="72">
        <v>3750</v>
      </c>
      <c r="BP107" s="72">
        <v>667</v>
      </c>
      <c r="BQ107" s="75" t="s">
        <v>11</v>
      </c>
      <c r="BR107" s="72">
        <f>Table13[[#This Row],[Inhaler carbon footprint per inhaler in v2.37 (gCO2e) ]]-Table13[[#This Row],[Inhaler carbon footprint per inhaler in v2.36 (gCO2e) ]]</f>
        <v>-3083</v>
      </c>
      <c r="BS107" s="72">
        <f>Table13[[#This Row],[Inhaler carbon footprint per inhaler in v2.37 (gCO2e) ]]-Table13[[#This Row],[Inhaler carbon footprint per inhaler in v2.36 (gCO2e) ]]</f>
        <v>-3083</v>
      </c>
    </row>
    <row r="108" spans="1:71" ht="165" x14ac:dyDescent="0.25">
      <c r="A108" s="69" t="s">
        <v>1108</v>
      </c>
      <c r="B108" s="75" t="s">
        <v>892</v>
      </c>
      <c r="C108" s="69" t="s">
        <v>366</v>
      </c>
      <c r="D108" s="69" t="s">
        <v>17</v>
      </c>
      <c r="E108" s="69" t="s">
        <v>18</v>
      </c>
      <c r="F108" s="69" t="s">
        <v>3</v>
      </c>
      <c r="G108" s="69">
        <v>200</v>
      </c>
      <c r="H108" s="70">
        <v>4.95</v>
      </c>
      <c r="I108" s="70">
        <f t="shared" si="5"/>
        <v>2.4750000000000001E-2</v>
      </c>
      <c r="J108" s="69" t="s">
        <v>57</v>
      </c>
      <c r="K108" s="69" t="s">
        <v>193</v>
      </c>
      <c r="L108" s="69" t="s">
        <v>2</v>
      </c>
      <c r="M108" s="75" t="s">
        <v>8</v>
      </c>
      <c r="N108" s="75" t="s">
        <v>2</v>
      </c>
      <c r="O108" s="75" t="s">
        <v>2</v>
      </c>
      <c r="P108" s="75" t="s">
        <v>2</v>
      </c>
      <c r="Q108" s="75" t="s">
        <v>2</v>
      </c>
      <c r="R108" s="75" t="s">
        <v>2</v>
      </c>
      <c r="S108" s="75" t="s">
        <v>2</v>
      </c>
      <c r="T108" s="75" t="s">
        <v>2</v>
      </c>
      <c r="U108" s="75" t="s">
        <v>2</v>
      </c>
      <c r="V108" s="75" t="s">
        <v>2</v>
      </c>
      <c r="W108" s="75" t="s">
        <v>2</v>
      </c>
      <c r="X108" s="75" t="s">
        <v>2</v>
      </c>
      <c r="Y108" s="75" t="s">
        <v>2</v>
      </c>
      <c r="Z108" s="69" t="s">
        <v>79</v>
      </c>
      <c r="AA108" s="69" t="s">
        <v>926</v>
      </c>
      <c r="AB108" s="69" t="s">
        <v>1104</v>
      </c>
      <c r="AC108" s="69" t="s">
        <v>927</v>
      </c>
      <c r="AD108" s="72">
        <v>667</v>
      </c>
      <c r="AE108" s="75" t="s">
        <v>964</v>
      </c>
      <c r="AF108" s="75" t="s">
        <v>46</v>
      </c>
      <c r="AG108" s="75" t="s">
        <v>46</v>
      </c>
      <c r="AH108" s="75" t="s">
        <v>46</v>
      </c>
      <c r="AI108" s="75" t="s">
        <v>46</v>
      </c>
      <c r="AJ108" s="72" t="str">
        <f>IF(Table13[[#This Row],[Indicative carbon footprint /inhaler (gCO2e) 7,8]]&gt;1796,"High","Low")</f>
        <v>Low</v>
      </c>
      <c r="AK108" s="75" t="s">
        <v>46</v>
      </c>
      <c r="AL108" s="72" t="s">
        <v>46</v>
      </c>
      <c r="AM108" s="69"/>
      <c r="AN108" s="69" t="s">
        <v>2</v>
      </c>
      <c r="AO108" s="69" t="s">
        <v>2</v>
      </c>
      <c r="AP108" s="69" t="s">
        <v>2</v>
      </c>
      <c r="AQ108" s="69" t="s">
        <v>2</v>
      </c>
      <c r="AR108" s="74" t="s">
        <v>194</v>
      </c>
      <c r="AS108" s="69" t="s">
        <v>34</v>
      </c>
      <c r="AT108" s="69" t="s">
        <v>46</v>
      </c>
      <c r="AU108" s="69" t="s">
        <v>46</v>
      </c>
      <c r="AV108" s="69" t="s">
        <v>46</v>
      </c>
      <c r="AW108" s="69" t="s">
        <v>46</v>
      </c>
      <c r="AX108" s="69" t="s">
        <v>46</v>
      </c>
      <c r="AY108" s="69" t="s">
        <v>46</v>
      </c>
      <c r="AZ108" s="69" t="s">
        <v>46</v>
      </c>
      <c r="BA108" s="69" t="s">
        <v>46</v>
      </c>
      <c r="BB108" s="69" t="s">
        <v>46</v>
      </c>
      <c r="BC108" s="69" t="s">
        <v>46</v>
      </c>
      <c r="BD108" s="69" t="s">
        <v>46</v>
      </c>
      <c r="BE108" s="69" t="s">
        <v>46</v>
      </c>
      <c r="BF108" s="69" t="s">
        <v>2</v>
      </c>
      <c r="BG108" s="69" t="s">
        <v>2</v>
      </c>
      <c r="BH108" s="69" t="s">
        <v>2</v>
      </c>
      <c r="BI108" s="69" t="s">
        <v>2</v>
      </c>
      <c r="BJ108" s="69" t="s">
        <v>2</v>
      </c>
      <c r="BK108" s="69" t="s">
        <v>2</v>
      </c>
      <c r="BL108" s="69" t="s">
        <v>46</v>
      </c>
      <c r="BM108" s="75" t="s">
        <v>843</v>
      </c>
      <c r="BN108" s="75" t="s">
        <v>2</v>
      </c>
      <c r="BO108" s="72">
        <v>3750</v>
      </c>
      <c r="BP108" s="72">
        <v>667</v>
      </c>
      <c r="BQ108" s="75" t="s">
        <v>11</v>
      </c>
      <c r="BR108" s="72">
        <f>Table13[[#This Row],[Inhaler carbon footprint per inhaler in v2.37 (gCO2e) ]]-Table13[[#This Row],[Inhaler carbon footprint per inhaler in v2.36 (gCO2e) ]]</f>
        <v>-3083</v>
      </c>
      <c r="BS108" s="72">
        <f>Table13[[#This Row],[Inhaler carbon footprint per inhaler in v2.37 (gCO2e) ]]-Table13[[#This Row],[Inhaler carbon footprint per inhaler in v2.36 (gCO2e) ]]</f>
        <v>-3083</v>
      </c>
    </row>
    <row r="109" spans="1:71" ht="135" x14ac:dyDescent="0.25">
      <c r="A109" s="69" t="s">
        <v>367</v>
      </c>
      <c r="B109" s="69" t="s">
        <v>132</v>
      </c>
      <c r="C109" s="69" t="s">
        <v>400</v>
      </c>
      <c r="D109" s="69" t="s">
        <v>32</v>
      </c>
      <c r="E109" s="69" t="s">
        <v>92</v>
      </c>
      <c r="F109" s="69" t="s">
        <v>3</v>
      </c>
      <c r="G109" s="69">
        <v>30</v>
      </c>
      <c r="H109" s="70">
        <v>27.5</v>
      </c>
      <c r="I109" s="70">
        <f t="shared" si="5"/>
        <v>0.91666666666666663</v>
      </c>
      <c r="J109" s="69" t="s">
        <v>7</v>
      </c>
      <c r="K109" s="69" t="s">
        <v>7</v>
      </c>
      <c r="L109" s="69" t="s">
        <v>2</v>
      </c>
      <c r="M109" s="75" t="s">
        <v>8</v>
      </c>
      <c r="N109" s="75" t="s">
        <v>2</v>
      </c>
      <c r="O109" s="75" t="s">
        <v>2</v>
      </c>
      <c r="P109" s="75" t="s">
        <v>2</v>
      </c>
      <c r="Q109" s="75" t="s">
        <v>2</v>
      </c>
      <c r="R109" s="75" t="s">
        <v>2</v>
      </c>
      <c r="S109" s="75" t="s">
        <v>2</v>
      </c>
      <c r="T109" s="75" t="s">
        <v>2</v>
      </c>
      <c r="U109" s="75" t="s">
        <v>2</v>
      </c>
      <c r="V109" s="75" t="s">
        <v>2</v>
      </c>
      <c r="W109" s="75" t="s">
        <v>2</v>
      </c>
      <c r="X109" s="75" t="s">
        <v>2</v>
      </c>
      <c r="Y109" s="75" t="s">
        <v>2</v>
      </c>
      <c r="Z109" s="69" t="s">
        <v>2</v>
      </c>
      <c r="AA109" s="69" t="s">
        <v>714</v>
      </c>
      <c r="AB109" s="69" t="s">
        <v>714</v>
      </c>
      <c r="AC109" s="69" t="s">
        <v>841</v>
      </c>
      <c r="AD109" s="72">
        <v>667</v>
      </c>
      <c r="AE109" s="75" t="s">
        <v>964</v>
      </c>
      <c r="AF109" s="75" t="s">
        <v>2</v>
      </c>
      <c r="AG109" s="75" t="s">
        <v>2</v>
      </c>
      <c r="AH109" s="75" t="s">
        <v>2</v>
      </c>
      <c r="AI109" s="75" t="s">
        <v>2</v>
      </c>
      <c r="AJ109" s="72" t="str">
        <f>IF(Table13[[#This Row],[Indicative carbon footprint /inhaler (gCO2e) 7,8]]&gt;1796,"High","Low")</f>
        <v>Low</v>
      </c>
      <c r="AK109" s="75" t="s">
        <v>46</v>
      </c>
      <c r="AL109" s="72" t="s">
        <v>46</v>
      </c>
      <c r="AM109" s="69"/>
      <c r="AN109" s="69" t="s">
        <v>2</v>
      </c>
      <c r="AO109" s="69" t="s">
        <v>2</v>
      </c>
      <c r="AP109" s="69" t="s">
        <v>2</v>
      </c>
      <c r="AQ109" s="69" t="s">
        <v>2</v>
      </c>
      <c r="AR109" s="74" t="s">
        <v>195</v>
      </c>
      <c r="AS109" s="69" t="s">
        <v>34</v>
      </c>
      <c r="AT109" s="69" t="s">
        <v>46</v>
      </c>
      <c r="AU109" s="69" t="s">
        <v>46</v>
      </c>
      <c r="AV109" s="69" t="s">
        <v>46</v>
      </c>
      <c r="AW109" s="69" t="s">
        <v>46</v>
      </c>
      <c r="AX109" s="69" t="s">
        <v>46</v>
      </c>
      <c r="AY109" s="69" t="s">
        <v>46</v>
      </c>
      <c r="AZ109" s="69" t="s">
        <v>46</v>
      </c>
      <c r="BA109" s="69" t="s">
        <v>46</v>
      </c>
      <c r="BB109" s="69" t="s">
        <v>46</v>
      </c>
      <c r="BC109" s="69" t="s">
        <v>46</v>
      </c>
      <c r="BD109" s="69" t="s">
        <v>46</v>
      </c>
      <c r="BE109" s="69" t="s">
        <v>46</v>
      </c>
      <c r="BF109" s="69" t="s">
        <v>2</v>
      </c>
      <c r="BG109" s="69" t="s">
        <v>2</v>
      </c>
      <c r="BH109" s="69" t="s">
        <v>2</v>
      </c>
      <c r="BI109" s="69" t="s">
        <v>2</v>
      </c>
      <c r="BJ109" s="69" t="s">
        <v>2</v>
      </c>
      <c r="BK109" s="69" t="s">
        <v>2</v>
      </c>
      <c r="BL109" s="69" t="s">
        <v>46</v>
      </c>
      <c r="BM109" s="75" t="s">
        <v>11</v>
      </c>
      <c r="BN109" s="75" t="s">
        <v>2</v>
      </c>
      <c r="BO109" s="72">
        <v>562.5</v>
      </c>
      <c r="BP109" s="72">
        <v>667</v>
      </c>
      <c r="BQ109" s="75" t="s">
        <v>11</v>
      </c>
      <c r="BR109" s="72">
        <f>Table13[[#This Row],[Inhaler carbon footprint per inhaler in v2.37 (gCO2e) ]]-Table13[[#This Row],[Inhaler carbon footprint per inhaler in v2.36 (gCO2e) ]]</f>
        <v>104.5</v>
      </c>
      <c r="BS109" s="72">
        <f>Table13[[#This Row],[Inhaler carbon footprint per inhaler in v2.37 (gCO2e) ]]-Table13[[#This Row],[Inhaler carbon footprint per inhaler in v2.36 (gCO2e) ]]</f>
        <v>104.5</v>
      </c>
    </row>
    <row r="110" spans="1:71" ht="405" x14ac:dyDescent="0.25">
      <c r="A110" s="69" t="s">
        <v>368</v>
      </c>
      <c r="B110" s="69" t="s">
        <v>145</v>
      </c>
      <c r="C110" s="69" t="s">
        <v>749</v>
      </c>
      <c r="D110" s="69" t="s">
        <v>12</v>
      </c>
      <c r="E110" s="69" t="s">
        <v>6</v>
      </c>
      <c r="F110" s="69" t="s">
        <v>13</v>
      </c>
      <c r="G110" s="69">
        <v>120</v>
      </c>
      <c r="H110" s="70">
        <v>14.99</v>
      </c>
      <c r="I110" s="70">
        <f t="shared" si="5"/>
        <v>0.12491666666666666</v>
      </c>
      <c r="J110" s="69" t="s">
        <v>7</v>
      </c>
      <c r="K110" s="69" t="s">
        <v>7</v>
      </c>
      <c r="L110" s="69" t="s">
        <v>8</v>
      </c>
      <c r="M110" s="69" t="s">
        <v>8</v>
      </c>
      <c r="N110" s="69" t="s">
        <v>2</v>
      </c>
      <c r="O110" s="69" t="s">
        <v>2</v>
      </c>
      <c r="P110" s="69" t="s">
        <v>2</v>
      </c>
      <c r="Q110" s="75" t="s">
        <v>2</v>
      </c>
      <c r="R110" s="69" t="s">
        <v>2</v>
      </c>
      <c r="S110" s="69" t="s">
        <v>699</v>
      </c>
      <c r="T110" s="69" t="s">
        <v>2</v>
      </c>
      <c r="U110" s="75" t="s">
        <v>2</v>
      </c>
      <c r="V110" s="75" t="s">
        <v>2</v>
      </c>
      <c r="W110" s="75" t="s">
        <v>2</v>
      </c>
      <c r="X110" s="75" t="s">
        <v>2</v>
      </c>
      <c r="Y110" s="75" t="s">
        <v>720</v>
      </c>
      <c r="Z110" s="69" t="s">
        <v>79</v>
      </c>
      <c r="AA110" s="69" t="s">
        <v>714</v>
      </c>
      <c r="AB110" s="69" t="s">
        <v>714</v>
      </c>
      <c r="AC110" s="69" t="s">
        <v>948</v>
      </c>
      <c r="AD110" s="72">
        <f>Table13[[#This Row],[Carbon footprint per inhaler attributed to propellant PrescQIPP calculated as gCO2e (from PIL or as assigned in the methodology)11-13]]</f>
        <v>17875</v>
      </c>
      <c r="AE110" s="75" t="s">
        <v>530</v>
      </c>
      <c r="AF110" s="75" t="s">
        <v>46</v>
      </c>
      <c r="AG110" s="75" t="s">
        <v>46</v>
      </c>
      <c r="AH110" s="75" t="s">
        <v>46</v>
      </c>
      <c r="AI110" s="75" t="s">
        <v>46</v>
      </c>
      <c r="AJ110" s="72" t="str">
        <f>IF(Table13[[#This Row],[Indicative carbon footprint /inhaler (gCO2e) 7,8]]&gt;1796,"High","Low")</f>
        <v>High</v>
      </c>
      <c r="AK110" s="75" t="s">
        <v>46</v>
      </c>
      <c r="AL110" s="72" t="s">
        <v>46</v>
      </c>
      <c r="AM110" s="69"/>
      <c r="AN110" s="69" t="s">
        <v>177</v>
      </c>
      <c r="AO110" s="90">
        <v>12.5</v>
      </c>
      <c r="AP110" s="69">
        <v>1.7999999999999999E-2</v>
      </c>
      <c r="AQ110" s="72">
        <f>1430*Table13[[#This Row],[Amount of propellant per inhaler (from PIL) (g)12-13]]</f>
        <v>17875</v>
      </c>
      <c r="AR110" s="74" t="s">
        <v>196</v>
      </c>
      <c r="AS110" s="101" t="s">
        <v>34</v>
      </c>
      <c r="AT110" s="69" t="s">
        <v>449</v>
      </c>
      <c r="AU110" s="69" t="s">
        <v>46</v>
      </c>
      <c r="AV110" s="69" t="s">
        <v>46</v>
      </c>
      <c r="AW110" s="69" t="s">
        <v>46</v>
      </c>
      <c r="AX110" s="69" t="s">
        <v>46</v>
      </c>
      <c r="AY110" s="69" t="s">
        <v>197</v>
      </c>
      <c r="AZ110" s="69" t="s">
        <v>455</v>
      </c>
      <c r="BA110" s="69" t="s">
        <v>456</v>
      </c>
      <c r="BB110" s="69" t="s">
        <v>46</v>
      </c>
      <c r="BC110" s="69" t="s">
        <v>457</v>
      </c>
      <c r="BD110" s="69" t="s">
        <v>149</v>
      </c>
      <c r="BE110" s="69" t="s">
        <v>46</v>
      </c>
      <c r="BF110" s="69" t="s">
        <v>11</v>
      </c>
      <c r="BG110" s="69" t="s">
        <v>46</v>
      </c>
      <c r="BH110" s="69" t="s">
        <v>46</v>
      </c>
      <c r="BI110" s="69" t="s">
        <v>46</v>
      </c>
      <c r="BJ110" s="69" t="s">
        <v>46</v>
      </c>
      <c r="BK110" s="69" t="s">
        <v>46</v>
      </c>
      <c r="BL110" s="69" t="s">
        <v>198</v>
      </c>
      <c r="BM110" s="75" t="s">
        <v>843</v>
      </c>
      <c r="BN110" s="75" t="s">
        <v>877</v>
      </c>
      <c r="BO110" s="72">
        <v>16420</v>
      </c>
      <c r="BP110" s="72">
        <v>17875</v>
      </c>
      <c r="BQ110" s="75" t="s">
        <v>11</v>
      </c>
      <c r="BR110" s="72">
        <f>Table13[[#This Row],[Inhaler carbon footprint per inhaler in v2.37 (gCO2e) ]]-Table13[[#This Row],[Inhaler carbon footprint per inhaler in v2.36 (gCO2e) ]]</f>
        <v>1455</v>
      </c>
      <c r="BS110" s="72">
        <f>Table13[[#This Row],[Inhaler carbon footprint per inhaler in v2.37 (gCO2e) ]]-Table13[[#This Row],[Inhaler carbon footprint per inhaler in v2.36 (gCO2e) ]]</f>
        <v>1455</v>
      </c>
    </row>
    <row r="111" spans="1:71" ht="270" x14ac:dyDescent="0.25">
      <c r="A111" s="69" t="s">
        <v>369</v>
      </c>
      <c r="B111" s="69" t="s">
        <v>145</v>
      </c>
      <c r="C111" s="69" t="s">
        <v>750</v>
      </c>
      <c r="D111" s="69" t="s">
        <v>12</v>
      </c>
      <c r="E111" s="69" t="s">
        <v>6</v>
      </c>
      <c r="F111" s="69" t="s">
        <v>13</v>
      </c>
      <c r="G111" s="69">
        <v>120</v>
      </c>
      <c r="H111" s="70">
        <v>19.989999999999998</v>
      </c>
      <c r="I111" s="70">
        <f t="shared" si="5"/>
        <v>0.16658333333333333</v>
      </c>
      <c r="J111" s="69" t="s">
        <v>7</v>
      </c>
      <c r="K111" s="69" t="s">
        <v>7</v>
      </c>
      <c r="L111" s="69" t="s">
        <v>8</v>
      </c>
      <c r="M111" s="69" t="s">
        <v>8</v>
      </c>
      <c r="N111" s="69" t="s">
        <v>2</v>
      </c>
      <c r="O111" s="69" t="s">
        <v>2</v>
      </c>
      <c r="P111" s="69" t="s">
        <v>2</v>
      </c>
      <c r="Q111" s="75" t="s">
        <v>2</v>
      </c>
      <c r="R111" s="69" t="s">
        <v>2</v>
      </c>
      <c r="S111" s="69" t="s">
        <v>2</v>
      </c>
      <c r="T111" s="69" t="s">
        <v>699</v>
      </c>
      <c r="U111" s="75" t="s">
        <v>2</v>
      </c>
      <c r="V111" s="75" t="s">
        <v>2</v>
      </c>
      <c r="W111" s="75" t="s">
        <v>2</v>
      </c>
      <c r="X111" s="75" t="s">
        <v>2</v>
      </c>
      <c r="Y111" s="75" t="s">
        <v>720</v>
      </c>
      <c r="Z111" s="69" t="s">
        <v>79</v>
      </c>
      <c r="AA111" s="69" t="s">
        <v>714</v>
      </c>
      <c r="AB111" s="69" t="s">
        <v>714</v>
      </c>
      <c r="AC111" s="69" t="s">
        <v>948</v>
      </c>
      <c r="AD111" s="72">
        <f>Table13[[#This Row],[Carbon footprint per inhaler attributed to propellant PrescQIPP calculated as gCO2e (from PIL or as assigned in the methodology)11-13]]</f>
        <v>17875</v>
      </c>
      <c r="AE111" s="75" t="s">
        <v>530</v>
      </c>
      <c r="AF111" s="75" t="s">
        <v>46</v>
      </c>
      <c r="AG111" s="75" t="s">
        <v>46</v>
      </c>
      <c r="AH111" s="75" t="s">
        <v>46</v>
      </c>
      <c r="AI111" s="75" t="s">
        <v>46</v>
      </c>
      <c r="AJ111" s="72" t="str">
        <f>IF(Table13[[#This Row],[Indicative carbon footprint /inhaler (gCO2e) 7,8]]&gt;1796,"High","Low")</f>
        <v>High</v>
      </c>
      <c r="AK111" s="75" t="s">
        <v>46</v>
      </c>
      <c r="AL111" s="72" t="s">
        <v>46</v>
      </c>
      <c r="AM111" s="69"/>
      <c r="AN111" s="69" t="s">
        <v>177</v>
      </c>
      <c r="AO111" s="90">
        <v>12.5</v>
      </c>
      <c r="AP111" s="69">
        <v>1.7999999999999999E-2</v>
      </c>
      <c r="AQ111" s="72">
        <f>1430*Table13[[#This Row],[Amount of propellant per inhaler (from PIL) (g)12-13]]</f>
        <v>17875</v>
      </c>
      <c r="AR111" s="74" t="s">
        <v>199</v>
      </c>
      <c r="AS111" s="101" t="s">
        <v>34</v>
      </c>
      <c r="AT111" s="69" t="s">
        <v>449</v>
      </c>
      <c r="AU111" s="69" t="s">
        <v>46</v>
      </c>
      <c r="AV111" s="69" t="s">
        <v>46</v>
      </c>
      <c r="AW111" s="69" t="s">
        <v>46</v>
      </c>
      <c r="AX111" s="69" t="s">
        <v>46</v>
      </c>
      <c r="AY111" s="69" t="s">
        <v>46</v>
      </c>
      <c r="AZ111" s="69" t="s">
        <v>46</v>
      </c>
      <c r="BA111" s="69" t="s">
        <v>46</v>
      </c>
      <c r="BB111" s="69" t="s">
        <v>46</v>
      </c>
      <c r="BC111" s="69" t="s">
        <v>46</v>
      </c>
      <c r="BD111" s="69" t="s">
        <v>46</v>
      </c>
      <c r="BE111" s="69" t="s">
        <v>46</v>
      </c>
      <c r="BF111" s="69" t="s">
        <v>11</v>
      </c>
      <c r="BG111" s="69" t="s">
        <v>46</v>
      </c>
      <c r="BH111" s="69" t="s">
        <v>46</v>
      </c>
      <c r="BI111" s="69" t="s">
        <v>46</v>
      </c>
      <c r="BJ111" s="69" t="s">
        <v>46</v>
      </c>
      <c r="BK111" s="69" t="s">
        <v>46</v>
      </c>
      <c r="BL111" s="69" t="s">
        <v>46</v>
      </c>
      <c r="BM111" s="75" t="s">
        <v>843</v>
      </c>
      <c r="BN111" s="75" t="s">
        <v>877</v>
      </c>
      <c r="BO111" s="72">
        <v>16270</v>
      </c>
      <c r="BP111" s="72">
        <v>17875</v>
      </c>
      <c r="BQ111" s="75" t="s">
        <v>11</v>
      </c>
      <c r="BR111" s="72">
        <f>Table13[[#This Row],[Inhaler carbon footprint per inhaler in v2.37 (gCO2e) ]]-Table13[[#This Row],[Inhaler carbon footprint per inhaler in v2.36 (gCO2e) ]]</f>
        <v>1605</v>
      </c>
      <c r="BS111" s="72">
        <f>Table13[[#This Row],[Inhaler carbon footprint per inhaler in v2.37 (gCO2e) ]]-Table13[[#This Row],[Inhaler carbon footprint per inhaler in v2.36 (gCO2e) ]]</f>
        <v>1605</v>
      </c>
    </row>
    <row r="112" spans="1:71" ht="120" x14ac:dyDescent="0.25">
      <c r="A112" s="69" t="s">
        <v>645</v>
      </c>
      <c r="B112" s="69" t="s">
        <v>145</v>
      </c>
      <c r="C112" s="69" t="s">
        <v>757</v>
      </c>
      <c r="D112" s="69" t="s">
        <v>12</v>
      </c>
      <c r="E112" s="69" t="s">
        <v>6</v>
      </c>
      <c r="F112" s="69" t="s">
        <v>3</v>
      </c>
      <c r="G112" s="69">
        <v>60</v>
      </c>
      <c r="H112" s="70">
        <v>10.99</v>
      </c>
      <c r="I112" s="70">
        <f t="shared" si="5"/>
        <v>0.18316666666666667</v>
      </c>
      <c r="J112" s="69" t="s">
        <v>26</v>
      </c>
      <c r="K112" s="69" t="s">
        <v>26</v>
      </c>
      <c r="L112" s="69" t="s">
        <v>8</v>
      </c>
      <c r="M112" s="69" t="s">
        <v>8</v>
      </c>
      <c r="N112" s="69" t="s">
        <v>2</v>
      </c>
      <c r="O112" s="69" t="s">
        <v>2</v>
      </c>
      <c r="P112" s="69" t="s">
        <v>2</v>
      </c>
      <c r="Q112" s="75" t="s">
        <v>2</v>
      </c>
      <c r="R112" s="69" t="s">
        <v>2</v>
      </c>
      <c r="S112" s="69" t="s">
        <v>700</v>
      </c>
      <c r="T112" s="69" t="s">
        <v>2</v>
      </c>
      <c r="U112" s="75" t="s">
        <v>2</v>
      </c>
      <c r="V112" s="75" t="s">
        <v>2</v>
      </c>
      <c r="W112" s="75" t="s">
        <v>2</v>
      </c>
      <c r="X112" s="75" t="s">
        <v>2</v>
      </c>
      <c r="Y112" s="75" t="s">
        <v>720</v>
      </c>
      <c r="Z112" s="69" t="s">
        <v>79</v>
      </c>
      <c r="AA112" s="69" t="s">
        <v>714</v>
      </c>
      <c r="AB112" s="69" t="s">
        <v>929</v>
      </c>
      <c r="AC112" s="69" t="s">
        <v>928</v>
      </c>
      <c r="AD112" s="72">
        <v>898</v>
      </c>
      <c r="AE112" s="75" t="s">
        <v>1078</v>
      </c>
      <c r="AF112" s="75" t="s">
        <v>46</v>
      </c>
      <c r="AG112" s="75" t="s">
        <v>46</v>
      </c>
      <c r="AH112" s="75" t="s">
        <v>46</v>
      </c>
      <c r="AI112" s="75" t="s">
        <v>46</v>
      </c>
      <c r="AJ112" s="72" t="str">
        <f>IF(Table13[[#This Row],[Indicative carbon footprint /inhaler (gCO2e) 7,8]]&gt;1796,"High","Low")</f>
        <v>Low</v>
      </c>
      <c r="AK112" s="75" t="s">
        <v>46</v>
      </c>
      <c r="AL112" s="72" t="s">
        <v>46</v>
      </c>
      <c r="AM112" s="70" t="s">
        <v>1078</v>
      </c>
      <c r="AN112" s="69" t="s">
        <v>2</v>
      </c>
      <c r="AO112" s="69" t="s">
        <v>2</v>
      </c>
      <c r="AP112" s="69" t="s">
        <v>2</v>
      </c>
      <c r="AQ112" s="69" t="s">
        <v>2</v>
      </c>
      <c r="AR112" s="74" t="s">
        <v>646</v>
      </c>
      <c r="AS112" s="69" t="s">
        <v>34</v>
      </c>
      <c r="AT112" s="69" t="s">
        <v>46</v>
      </c>
      <c r="AU112" s="69" t="s">
        <v>46</v>
      </c>
      <c r="AV112" s="69" t="s">
        <v>46</v>
      </c>
      <c r="AW112" s="69" t="s">
        <v>46</v>
      </c>
      <c r="AX112" s="69" t="s">
        <v>46</v>
      </c>
      <c r="AY112" s="69" t="s">
        <v>46</v>
      </c>
      <c r="AZ112" s="69" t="s">
        <v>46</v>
      </c>
      <c r="BA112" s="69" t="s">
        <v>46</v>
      </c>
      <c r="BB112" s="69" t="s">
        <v>46</v>
      </c>
      <c r="BC112" s="69" t="s">
        <v>46</v>
      </c>
      <c r="BD112" s="69" t="s">
        <v>46</v>
      </c>
      <c r="BE112" s="69" t="s">
        <v>46</v>
      </c>
      <c r="BF112" s="69" t="s">
        <v>2</v>
      </c>
      <c r="BG112" s="69" t="s">
        <v>2</v>
      </c>
      <c r="BH112" s="69" t="s">
        <v>2</v>
      </c>
      <c r="BI112" s="69" t="s">
        <v>2</v>
      </c>
      <c r="BJ112" s="69" t="s">
        <v>2</v>
      </c>
      <c r="BK112" s="69" t="s">
        <v>2</v>
      </c>
      <c r="BL112" s="69" t="s">
        <v>884</v>
      </c>
      <c r="BM112" s="75" t="s">
        <v>843</v>
      </c>
      <c r="BN112" s="75" t="s">
        <v>2</v>
      </c>
      <c r="BO112" s="72" t="s">
        <v>1083</v>
      </c>
      <c r="BP112" s="72">
        <v>898</v>
      </c>
      <c r="BQ112" s="75" t="s">
        <v>11</v>
      </c>
      <c r="BR112" s="72" t="s">
        <v>1011</v>
      </c>
      <c r="BS112" s="72" t="s">
        <v>1010</v>
      </c>
    </row>
    <row r="113" spans="1:71" ht="120" x14ac:dyDescent="0.25">
      <c r="A113" s="69" t="s">
        <v>647</v>
      </c>
      <c r="B113" s="69" t="s">
        <v>145</v>
      </c>
      <c r="C113" s="69" t="s">
        <v>758</v>
      </c>
      <c r="D113" s="69" t="s">
        <v>5</v>
      </c>
      <c r="E113" s="69" t="s">
        <v>6</v>
      </c>
      <c r="F113" s="69" t="s">
        <v>3</v>
      </c>
      <c r="G113" s="69">
        <v>60</v>
      </c>
      <c r="H113" s="70">
        <v>10.99</v>
      </c>
      <c r="I113" s="70">
        <f t="shared" si="5"/>
        <v>0.18316666666666667</v>
      </c>
      <c r="J113" s="69" t="s">
        <v>498</v>
      </c>
      <c r="K113" s="69" t="s">
        <v>498</v>
      </c>
      <c r="L113" s="69" t="s">
        <v>8</v>
      </c>
      <c r="M113" s="69" t="s">
        <v>8</v>
      </c>
      <c r="N113" s="69" t="s">
        <v>2</v>
      </c>
      <c r="O113" s="69" t="s">
        <v>2</v>
      </c>
      <c r="P113" s="69" t="s">
        <v>2</v>
      </c>
      <c r="Q113" s="75" t="s">
        <v>2</v>
      </c>
      <c r="R113" s="69" t="s">
        <v>2</v>
      </c>
      <c r="S113" s="69" t="s">
        <v>2</v>
      </c>
      <c r="T113" s="69" t="s">
        <v>700</v>
      </c>
      <c r="U113" s="75" t="s">
        <v>2</v>
      </c>
      <c r="V113" s="75" t="s">
        <v>2</v>
      </c>
      <c r="W113" s="75" t="s">
        <v>2</v>
      </c>
      <c r="X113" s="75" t="s">
        <v>2</v>
      </c>
      <c r="Y113" s="75" t="s">
        <v>720</v>
      </c>
      <c r="Z113" s="69" t="s">
        <v>79</v>
      </c>
      <c r="AA113" s="69" t="s">
        <v>714</v>
      </c>
      <c r="AB113" s="69" t="s">
        <v>930</v>
      </c>
      <c r="AC113" s="69" t="s">
        <v>928</v>
      </c>
      <c r="AD113" s="72">
        <v>898</v>
      </c>
      <c r="AE113" s="75" t="s">
        <v>1078</v>
      </c>
      <c r="AF113" s="75" t="s">
        <v>46</v>
      </c>
      <c r="AG113" s="75" t="s">
        <v>46</v>
      </c>
      <c r="AH113" s="75" t="s">
        <v>46</v>
      </c>
      <c r="AI113" s="75" t="s">
        <v>46</v>
      </c>
      <c r="AJ113" s="72" t="str">
        <f>IF(Table13[[#This Row],[Indicative carbon footprint /inhaler (gCO2e) 7,8]]&gt;1796,"High","Low")</f>
        <v>Low</v>
      </c>
      <c r="AK113" s="75" t="s">
        <v>46</v>
      </c>
      <c r="AL113" s="72" t="s">
        <v>46</v>
      </c>
      <c r="AM113" s="70" t="s">
        <v>1078</v>
      </c>
      <c r="AN113" s="69" t="s">
        <v>2</v>
      </c>
      <c r="AO113" s="69" t="s">
        <v>2</v>
      </c>
      <c r="AP113" s="69" t="s">
        <v>2</v>
      </c>
      <c r="AQ113" s="69" t="s">
        <v>2</v>
      </c>
      <c r="AR113" s="74" t="s">
        <v>648</v>
      </c>
      <c r="AS113" s="69" t="s">
        <v>34</v>
      </c>
      <c r="AT113" s="69" t="s">
        <v>46</v>
      </c>
      <c r="AU113" s="69" t="s">
        <v>46</v>
      </c>
      <c r="AV113" s="69" t="s">
        <v>46</v>
      </c>
      <c r="AW113" s="69" t="s">
        <v>46</v>
      </c>
      <c r="AX113" s="69" t="s">
        <v>46</v>
      </c>
      <c r="AY113" s="69" t="s">
        <v>46</v>
      </c>
      <c r="AZ113" s="69" t="s">
        <v>46</v>
      </c>
      <c r="BA113" s="69" t="s">
        <v>46</v>
      </c>
      <c r="BB113" s="69" t="s">
        <v>46</v>
      </c>
      <c r="BC113" s="69" t="s">
        <v>46</v>
      </c>
      <c r="BD113" s="69" t="s">
        <v>46</v>
      </c>
      <c r="BE113" s="69" t="s">
        <v>46</v>
      </c>
      <c r="BF113" s="69" t="s">
        <v>2</v>
      </c>
      <c r="BG113" s="69" t="s">
        <v>2</v>
      </c>
      <c r="BH113" s="69" t="s">
        <v>2</v>
      </c>
      <c r="BI113" s="69" t="s">
        <v>2</v>
      </c>
      <c r="BJ113" s="69" t="s">
        <v>2</v>
      </c>
      <c r="BK113" s="69" t="s">
        <v>2</v>
      </c>
      <c r="BL113" s="69" t="s">
        <v>884</v>
      </c>
      <c r="BM113" s="75" t="s">
        <v>843</v>
      </c>
      <c r="BN113" s="75" t="s">
        <v>2</v>
      </c>
      <c r="BO113" s="72" t="s">
        <v>1083</v>
      </c>
      <c r="BP113" s="72">
        <v>898</v>
      </c>
      <c r="BQ113" s="75" t="s">
        <v>11</v>
      </c>
      <c r="BR113" s="72" t="s">
        <v>1011</v>
      </c>
      <c r="BS113" s="72" t="s">
        <v>1010</v>
      </c>
    </row>
    <row r="114" spans="1:71" ht="330" x14ac:dyDescent="0.25">
      <c r="A114" s="69" t="s">
        <v>370</v>
      </c>
      <c r="B114" s="69" t="s">
        <v>30</v>
      </c>
      <c r="C114" s="69" t="s">
        <v>764</v>
      </c>
      <c r="D114" s="69" t="s">
        <v>12</v>
      </c>
      <c r="E114" s="69" t="s">
        <v>6</v>
      </c>
      <c r="F114" s="69" t="s">
        <v>3</v>
      </c>
      <c r="G114" s="69">
        <v>60</v>
      </c>
      <c r="H114" s="70">
        <v>17.46</v>
      </c>
      <c r="I114" s="70">
        <f t="shared" si="5"/>
        <v>0.29100000000000004</v>
      </c>
      <c r="J114" s="69" t="s">
        <v>19</v>
      </c>
      <c r="K114" s="69" t="s">
        <v>76</v>
      </c>
      <c r="L114" s="69" t="s">
        <v>8</v>
      </c>
      <c r="M114" s="69" t="s">
        <v>8</v>
      </c>
      <c r="N114" s="69" t="s">
        <v>2</v>
      </c>
      <c r="O114" s="69" t="s">
        <v>2</v>
      </c>
      <c r="P114" s="69" t="s">
        <v>2</v>
      </c>
      <c r="Q114" s="75" t="s">
        <v>2</v>
      </c>
      <c r="R114" s="69" t="s">
        <v>700</v>
      </c>
      <c r="S114" s="69" t="s">
        <v>2</v>
      </c>
      <c r="T114" s="69" t="s">
        <v>2</v>
      </c>
      <c r="U114" s="75" t="s">
        <v>2</v>
      </c>
      <c r="V114" s="75" t="s">
        <v>2</v>
      </c>
      <c r="W114" s="75" t="s">
        <v>2</v>
      </c>
      <c r="X114" s="75" t="s">
        <v>2</v>
      </c>
      <c r="Y114" s="75" t="s">
        <v>720</v>
      </c>
      <c r="Z114" s="69" t="s">
        <v>79</v>
      </c>
      <c r="AA114" s="69" t="s">
        <v>714</v>
      </c>
      <c r="AB114" s="69" t="s">
        <v>714</v>
      </c>
      <c r="AC114" s="69" t="s">
        <v>793</v>
      </c>
      <c r="AD114" s="72">
        <v>898</v>
      </c>
      <c r="AE114" s="75" t="s">
        <v>9</v>
      </c>
      <c r="AF114" s="75" t="s">
        <v>46</v>
      </c>
      <c r="AG114" s="75" t="s">
        <v>46</v>
      </c>
      <c r="AH114" s="75" t="s">
        <v>46</v>
      </c>
      <c r="AI114" s="75" t="s">
        <v>46</v>
      </c>
      <c r="AJ114" s="72" t="str">
        <f>IF(Table13[[#This Row],[Indicative carbon footprint /inhaler (gCO2e) 7,8]]&gt;1796,"High","Low")</f>
        <v>Low</v>
      </c>
      <c r="AK114" s="75" t="s">
        <v>46</v>
      </c>
      <c r="AL114" s="72" t="s">
        <v>46</v>
      </c>
      <c r="AM114" s="69"/>
      <c r="AN114" s="69" t="s">
        <v>2</v>
      </c>
      <c r="AO114" s="69" t="s">
        <v>2</v>
      </c>
      <c r="AP114" s="69" t="s">
        <v>2</v>
      </c>
      <c r="AQ114" s="69" t="s">
        <v>2</v>
      </c>
      <c r="AR114" s="74" t="s">
        <v>200</v>
      </c>
      <c r="AS114" s="69" t="s">
        <v>34</v>
      </c>
      <c r="AT114" s="69" t="s">
        <v>201</v>
      </c>
      <c r="AU114" s="69">
        <v>250</v>
      </c>
      <c r="AV114" s="69">
        <v>341</v>
      </c>
      <c r="AW114" s="69" t="s">
        <v>273</v>
      </c>
      <c r="AX114" s="69" t="s">
        <v>272</v>
      </c>
      <c r="AY114" s="69">
        <v>116</v>
      </c>
      <c r="AZ114" s="69" t="s">
        <v>274</v>
      </c>
      <c r="BA114" s="69" t="s">
        <v>274</v>
      </c>
      <c r="BB114" s="69">
        <v>61</v>
      </c>
      <c r="BC114" s="69">
        <v>123</v>
      </c>
      <c r="BD114" s="69">
        <v>9</v>
      </c>
      <c r="BE114" s="69" t="s">
        <v>46</v>
      </c>
      <c r="BF114" s="69" t="s">
        <v>2</v>
      </c>
      <c r="BG114" s="69" t="s">
        <v>2</v>
      </c>
      <c r="BH114" s="69" t="s">
        <v>2</v>
      </c>
      <c r="BI114" s="69" t="s">
        <v>2</v>
      </c>
      <c r="BJ114" s="69" t="s">
        <v>2</v>
      </c>
      <c r="BK114" s="69" t="s">
        <v>2</v>
      </c>
      <c r="BL114" s="69" t="s">
        <v>36</v>
      </c>
      <c r="BM114" s="75" t="s">
        <v>843</v>
      </c>
      <c r="BN114" s="75" t="s">
        <v>2</v>
      </c>
      <c r="BO114" s="72">
        <v>898</v>
      </c>
      <c r="BP114" s="72">
        <v>898</v>
      </c>
      <c r="BQ114" s="75" t="s">
        <v>34</v>
      </c>
      <c r="BR114" s="72">
        <f>Table13[[#This Row],[Inhaler carbon footprint per inhaler in v2.37 (gCO2e) ]]-Table13[[#This Row],[Inhaler carbon footprint per inhaler in v2.36 (gCO2e) ]]</f>
        <v>0</v>
      </c>
      <c r="BS114" s="72" t="s">
        <v>809</v>
      </c>
    </row>
    <row r="115" spans="1:71" ht="330" x14ac:dyDescent="0.25">
      <c r="A115" s="69" t="s">
        <v>371</v>
      </c>
      <c r="B115" s="69" t="s">
        <v>30</v>
      </c>
      <c r="C115" s="69" t="s">
        <v>757</v>
      </c>
      <c r="D115" s="69" t="s">
        <v>12</v>
      </c>
      <c r="E115" s="69" t="s">
        <v>6</v>
      </c>
      <c r="F115" s="69" t="s">
        <v>3</v>
      </c>
      <c r="G115" s="69">
        <v>60</v>
      </c>
      <c r="H115" s="70">
        <v>33.950000000000003</v>
      </c>
      <c r="I115" s="70">
        <f t="shared" si="5"/>
        <v>0.56583333333333341</v>
      </c>
      <c r="J115" s="69" t="s">
        <v>26</v>
      </c>
      <c r="K115" s="69" t="s">
        <v>26</v>
      </c>
      <c r="L115" s="69" t="s">
        <v>8</v>
      </c>
      <c r="M115" s="69" t="s">
        <v>8</v>
      </c>
      <c r="N115" s="69" t="s">
        <v>2</v>
      </c>
      <c r="O115" s="69" t="s">
        <v>2</v>
      </c>
      <c r="P115" s="69" t="s">
        <v>2</v>
      </c>
      <c r="Q115" s="75" t="s">
        <v>2</v>
      </c>
      <c r="R115" s="69" t="s">
        <v>2</v>
      </c>
      <c r="S115" s="69" t="s">
        <v>700</v>
      </c>
      <c r="T115" s="69" t="s">
        <v>2</v>
      </c>
      <c r="U115" s="75" t="s">
        <v>2</v>
      </c>
      <c r="V115" s="75" t="s">
        <v>2</v>
      </c>
      <c r="W115" s="75" t="s">
        <v>2</v>
      </c>
      <c r="X115" s="75" t="s">
        <v>2</v>
      </c>
      <c r="Y115" s="75" t="s">
        <v>720</v>
      </c>
      <c r="Z115" s="69" t="s">
        <v>79</v>
      </c>
      <c r="AA115" s="69" t="s">
        <v>714</v>
      </c>
      <c r="AB115" s="69" t="s">
        <v>714</v>
      </c>
      <c r="AC115" s="69" t="s">
        <v>793</v>
      </c>
      <c r="AD115" s="72">
        <v>898</v>
      </c>
      <c r="AE115" s="75" t="s">
        <v>9</v>
      </c>
      <c r="AF115" s="75" t="s">
        <v>46</v>
      </c>
      <c r="AG115" s="75" t="s">
        <v>46</v>
      </c>
      <c r="AH115" s="75" t="s">
        <v>46</v>
      </c>
      <c r="AI115" s="75" t="s">
        <v>46</v>
      </c>
      <c r="AJ115" s="72" t="str">
        <f>IF(Table13[[#This Row],[Indicative carbon footprint /inhaler (gCO2e) 7,8]]&gt;1796,"High","Low")</f>
        <v>Low</v>
      </c>
      <c r="AK115" s="75" t="s">
        <v>46</v>
      </c>
      <c r="AL115" s="72" t="s">
        <v>46</v>
      </c>
      <c r="AM115" s="69"/>
      <c r="AN115" s="69" t="s">
        <v>2</v>
      </c>
      <c r="AO115" s="69" t="s">
        <v>2</v>
      </c>
      <c r="AP115" s="69" t="s">
        <v>2</v>
      </c>
      <c r="AQ115" s="69" t="s">
        <v>2</v>
      </c>
      <c r="AR115" s="74" t="s">
        <v>202</v>
      </c>
      <c r="AS115" s="69" t="s">
        <v>34</v>
      </c>
      <c r="AT115" s="69" t="s">
        <v>201</v>
      </c>
      <c r="AU115" s="69">
        <v>250</v>
      </c>
      <c r="AV115" s="69">
        <v>341</v>
      </c>
      <c r="AW115" s="69" t="s">
        <v>422</v>
      </c>
      <c r="AX115" s="69" t="s">
        <v>272</v>
      </c>
      <c r="AY115" s="69">
        <v>116</v>
      </c>
      <c r="AZ115" s="69" t="s">
        <v>423</v>
      </c>
      <c r="BA115" s="69" t="s">
        <v>423</v>
      </c>
      <c r="BB115" s="69">
        <v>61</v>
      </c>
      <c r="BC115" s="69">
        <v>123</v>
      </c>
      <c r="BD115" s="69">
        <v>9</v>
      </c>
      <c r="BE115" s="69" t="s">
        <v>46</v>
      </c>
      <c r="BF115" s="69" t="s">
        <v>2</v>
      </c>
      <c r="BG115" s="69" t="s">
        <v>2</v>
      </c>
      <c r="BH115" s="69" t="s">
        <v>2</v>
      </c>
      <c r="BI115" s="69" t="s">
        <v>2</v>
      </c>
      <c r="BJ115" s="69" t="s">
        <v>2</v>
      </c>
      <c r="BK115" s="69" t="s">
        <v>2</v>
      </c>
      <c r="BL115" s="69" t="s">
        <v>36</v>
      </c>
      <c r="BM115" s="75" t="s">
        <v>843</v>
      </c>
      <c r="BN115" s="75" t="s">
        <v>2</v>
      </c>
      <c r="BO115" s="72">
        <v>898</v>
      </c>
      <c r="BP115" s="72">
        <v>898</v>
      </c>
      <c r="BQ115" s="75" t="s">
        <v>34</v>
      </c>
      <c r="BR115" s="72">
        <f>Table13[[#This Row],[Inhaler carbon footprint per inhaler in v2.37 (gCO2e) ]]-Table13[[#This Row],[Inhaler carbon footprint per inhaler in v2.36 (gCO2e) ]]</f>
        <v>0</v>
      </c>
      <c r="BS115" s="72" t="s">
        <v>809</v>
      </c>
    </row>
    <row r="116" spans="1:71" ht="330" x14ac:dyDescent="0.25">
      <c r="A116" s="69" t="s">
        <v>372</v>
      </c>
      <c r="B116" s="69" t="s">
        <v>30</v>
      </c>
      <c r="C116" s="69" t="s">
        <v>758</v>
      </c>
      <c r="D116" s="69" t="s">
        <v>5</v>
      </c>
      <c r="E116" s="69" t="s">
        <v>6</v>
      </c>
      <c r="F116" s="69" t="s">
        <v>3</v>
      </c>
      <c r="G116" s="69">
        <v>60</v>
      </c>
      <c r="H116" s="70">
        <v>32.74</v>
      </c>
      <c r="I116" s="70">
        <f t="shared" si="5"/>
        <v>0.54566666666666674</v>
      </c>
      <c r="J116" s="69" t="s">
        <v>26</v>
      </c>
      <c r="K116" s="69" t="s">
        <v>26</v>
      </c>
      <c r="L116" s="69" t="s">
        <v>8</v>
      </c>
      <c r="M116" s="69" t="s">
        <v>8</v>
      </c>
      <c r="N116" s="69" t="s">
        <v>2</v>
      </c>
      <c r="O116" s="69" t="s">
        <v>2</v>
      </c>
      <c r="P116" s="69" t="s">
        <v>2</v>
      </c>
      <c r="Q116" s="75" t="s">
        <v>2</v>
      </c>
      <c r="R116" s="69" t="s">
        <v>2</v>
      </c>
      <c r="S116" s="69" t="s">
        <v>2</v>
      </c>
      <c r="T116" s="69" t="s">
        <v>700</v>
      </c>
      <c r="U116" s="75" t="s">
        <v>2</v>
      </c>
      <c r="V116" s="75" t="s">
        <v>2</v>
      </c>
      <c r="W116" s="75" t="s">
        <v>2</v>
      </c>
      <c r="X116" s="75" t="s">
        <v>2</v>
      </c>
      <c r="Y116" s="75" t="s">
        <v>720</v>
      </c>
      <c r="Z116" s="69" t="s">
        <v>79</v>
      </c>
      <c r="AA116" s="69" t="s">
        <v>714</v>
      </c>
      <c r="AB116" s="69" t="s">
        <v>714</v>
      </c>
      <c r="AC116" s="97" t="s">
        <v>831</v>
      </c>
      <c r="AD116" s="72">
        <v>898</v>
      </c>
      <c r="AE116" s="75" t="s">
        <v>9</v>
      </c>
      <c r="AF116" s="75" t="s">
        <v>46</v>
      </c>
      <c r="AG116" s="75" t="s">
        <v>46</v>
      </c>
      <c r="AH116" s="75" t="s">
        <v>46</v>
      </c>
      <c r="AI116" s="75" t="s">
        <v>46</v>
      </c>
      <c r="AJ116" s="72" t="str">
        <f>IF(Table13[[#This Row],[Indicative carbon footprint /inhaler (gCO2e) 7,8]]&gt;1796,"High","Low")</f>
        <v>Low</v>
      </c>
      <c r="AK116" s="75" t="s">
        <v>46</v>
      </c>
      <c r="AL116" s="72" t="s">
        <v>46</v>
      </c>
      <c r="AM116" s="69"/>
      <c r="AN116" s="69" t="s">
        <v>2</v>
      </c>
      <c r="AO116" s="69" t="s">
        <v>2</v>
      </c>
      <c r="AP116" s="69" t="s">
        <v>2</v>
      </c>
      <c r="AQ116" s="69" t="s">
        <v>2</v>
      </c>
      <c r="AR116" s="74" t="s">
        <v>203</v>
      </c>
      <c r="AS116" s="69" t="s">
        <v>34</v>
      </c>
      <c r="AT116" s="69" t="s">
        <v>201</v>
      </c>
      <c r="AU116" s="69">
        <v>250</v>
      </c>
      <c r="AV116" s="69">
        <v>341</v>
      </c>
      <c r="AW116" s="69" t="s">
        <v>422</v>
      </c>
      <c r="AX116" s="69" t="s">
        <v>272</v>
      </c>
      <c r="AY116" s="69">
        <v>116</v>
      </c>
      <c r="AZ116" s="69" t="s">
        <v>423</v>
      </c>
      <c r="BA116" s="69" t="s">
        <v>423</v>
      </c>
      <c r="BB116" s="69">
        <v>61</v>
      </c>
      <c r="BC116" s="69">
        <v>123</v>
      </c>
      <c r="BD116" s="69">
        <v>9</v>
      </c>
      <c r="BE116" s="69" t="s">
        <v>46</v>
      </c>
      <c r="BF116" s="69" t="s">
        <v>2</v>
      </c>
      <c r="BG116" s="69" t="s">
        <v>2</v>
      </c>
      <c r="BH116" s="69" t="s">
        <v>2</v>
      </c>
      <c r="BI116" s="69" t="s">
        <v>2</v>
      </c>
      <c r="BJ116" s="69" t="s">
        <v>2</v>
      </c>
      <c r="BK116" s="69" t="s">
        <v>2</v>
      </c>
      <c r="BL116" s="69" t="s">
        <v>906</v>
      </c>
      <c r="BM116" s="75" t="s">
        <v>843</v>
      </c>
      <c r="BN116" s="75" t="s">
        <v>2</v>
      </c>
      <c r="BO116" s="72">
        <v>898</v>
      </c>
      <c r="BP116" s="72">
        <v>898</v>
      </c>
      <c r="BQ116" s="75" t="s">
        <v>34</v>
      </c>
      <c r="BR116" s="72">
        <f>Table13[[#This Row],[Inhaler carbon footprint per inhaler in v2.37 (gCO2e) ]]-Table13[[#This Row],[Inhaler carbon footprint per inhaler in v2.36 (gCO2e) ]]</f>
        <v>0</v>
      </c>
      <c r="BS116" s="72" t="s">
        <v>809</v>
      </c>
    </row>
    <row r="117" spans="1:71" ht="409.5" x14ac:dyDescent="0.25">
      <c r="A117" s="69" t="s">
        <v>373</v>
      </c>
      <c r="B117" s="69" t="s">
        <v>30</v>
      </c>
      <c r="C117" s="69" t="s">
        <v>749</v>
      </c>
      <c r="D117" s="69" t="s">
        <v>12</v>
      </c>
      <c r="E117" s="69" t="s">
        <v>6</v>
      </c>
      <c r="F117" s="69" t="s">
        <v>13</v>
      </c>
      <c r="G117" s="69">
        <v>120</v>
      </c>
      <c r="H117" s="70">
        <v>23.45</v>
      </c>
      <c r="I117" s="70">
        <f t="shared" si="5"/>
        <v>0.19541666666666666</v>
      </c>
      <c r="J117" s="69" t="s">
        <v>26</v>
      </c>
      <c r="K117" s="69" t="s">
        <v>26</v>
      </c>
      <c r="L117" s="69" t="s">
        <v>8</v>
      </c>
      <c r="M117" s="69" t="s">
        <v>8</v>
      </c>
      <c r="N117" s="69" t="s">
        <v>2</v>
      </c>
      <c r="O117" s="69" t="s">
        <v>2</v>
      </c>
      <c r="P117" s="69" t="s">
        <v>2</v>
      </c>
      <c r="Q117" s="75" t="s">
        <v>2</v>
      </c>
      <c r="R117" s="69" t="s">
        <v>2</v>
      </c>
      <c r="S117" s="69" t="s">
        <v>699</v>
      </c>
      <c r="T117" s="69" t="s">
        <v>2</v>
      </c>
      <c r="U117" s="75" t="s">
        <v>2</v>
      </c>
      <c r="V117" s="75" t="s">
        <v>2</v>
      </c>
      <c r="W117" s="75" t="s">
        <v>2</v>
      </c>
      <c r="X117" s="75" t="s">
        <v>2</v>
      </c>
      <c r="Y117" s="75" t="s">
        <v>720</v>
      </c>
      <c r="Z117" s="69" t="s">
        <v>79</v>
      </c>
      <c r="AA117" s="69" t="s">
        <v>714</v>
      </c>
      <c r="AB117" s="69" t="s">
        <v>714</v>
      </c>
      <c r="AC117" s="69" t="s">
        <v>949</v>
      </c>
      <c r="AD117" s="72">
        <f>Table13[[#This Row],[Carbon footprint per inhaler attributed to propellant PrescQIPP calculated as gCO2e (from PIL or as assigned in the methodology)11-13]]</f>
        <v>17160</v>
      </c>
      <c r="AE117" s="75" t="s">
        <v>530</v>
      </c>
      <c r="AF117" s="75" t="s">
        <v>46</v>
      </c>
      <c r="AG117" s="75" t="s">
        <v>46</v>
      </c>
      <c r="AH117" s="75" t="s">
        <v>46</v>
      </c>
      <c r="AI117" s="75" t="s">
        <v>46</v>
      </c>
      <c r="AJ117" s="72" t="str">
        <f>IF(Table13[[#This Row],[Indicative carbon footprint /inhaler (gCO2e) 7,8]]&gt;1796,"High","Low")</f>
        <v>High</v>
      </c>
      <c r="AK117" s="75" t="s">
        <v>46</v>
      </c>
      <c r="AL117" s="72" t="s">
        <v>46</v>
      </c>
      <c r="AM117" s="69"/>
      <c r="AN117" s="69" t="s">
        <v>177</v>
      </c>
      <c r="AO117" s="90">
        <v>12</v>
      </c>
      <c r="AP117" s="69">
        <v>1.72E-2</v>
      </c>
      <c r="AQ117" s="72">
        <f>1430*Table13[[#This Row],[Amount of propellant per inhaler (from PIL) (g)12-13]]</f>
        <v>17160</v>
      </c>
      <c r="AR117" s="74" t="s">
        <v>204</v>
      </c>
      <c r="AS117" s="69" t="s">
        <v>34</v>
      </c>
      <c r="AT117" s="69" t="s">
        <v>35</v>
      </c>
      <c r="AU117" s="69">
        <v>79</v>
      </c>
      <c r="AV117" s="69">
        <v>65</v>
      </c>
      <c r="AW117" s="69" t="s">
        <v>422</v>
      </c>
      <c r="AX117" s="69" t="s">
        <v>272</v>
      </c>
      <c r="AY117" s="69">
        <v>2061</v>
      </c>
      <c r="AZ117" s="69" t="s">
        <v>423</v>
      </c>
      <c r="BA117" s="69" t="s">
        <v>423</v>
      </c>
      <c r="BB117" s="69">
        <v>33</v>
      </c>
      <c r="BC117" s="69">
        <v>10678</v>
      </c>
      <c r="BD117" s="69">
        <v>6084</v>
      </c>
      <c r="BE117" s="69" t="s">
        <v>46</v>
      </c>
      <c r="BF117" s="69" t="s">
        <v>205</v>
      </c>
      <c r="BG117" s="69" t="s">
        <v>46</v>
      </c>
      <c r="BH117" s="69" t="s">
        <v>46</v>
      </c>
      <c r="BI117" s="69" t="s">
        <v>46</v>
      </c>
      <c r="BJ117" s="69" t="s">
        <v>46</v>
      </c>
      <c r="BK117" s="69" t="s">
        <v>46</v>
      </c>
      <c r="BL117" s="69" t="s">
        <v>36</v>
      </c>
      <c r="BM117" s="75" t="s">
        <v>843</v>
      </c>
      <c r="BN117" s="75" t="s">
        <v>878</v>
      </c>
      <c r="BO117" s="72">
        <v>19485</v>
      </c>
      <c r="BP117" s="72">
        <v>17160</v>
      </c>
      <c r="BQ117" s="75" t="s">
        <v>11</v>
      </c>
      <c r="BR117" s="72">
        <f>Table13[[#This Row],[Inhaler carbon footprint per inhaler in v2.37 (gCO2e) ]]-Table13[[#This Row],[Inhaler carbon footprint per inhaler in v2.36 (gCO2e) ]]</f>
        <v>-2325</v>
      </c>
      <c r="BS117" s="72">
        <f>Table13[[#This Row],[Inhaler carbon footprint per inhaler in v2.37 (gCO2e) ]]-Table13[[#This Row],[Inhaler carbon footprint per inhaler in v2.36 (gCO2e) ]]</f>
        <v>-2325</v>
      </c>
    </row>
    <row r="118" spans="1:71" ht="409.5" x14ac:dyDescent="0.25">
      <c r="A118" s="69" t="s">
        <v>374</v>
      </c>
      <c r="B118" s="69" t="s">
        <v>30</v>
      </c>
      <c r="C118" s="69" t="s">
        <v>750</v>
      </c>
      <c r="D118" s="69" t="s">
        <v>12</v>
      </c>
      <c r="E118" s="69" t="s">
        <v>6</v>
      </c>
      <c r="F118" s="69" t="s">
        <v>13</v>
      </c>
      <c r="G118" s="69">
        <v>120</v>
      </c>
      <c r="H118" s="70">
        <v>29.32</v>
      </c>
      <c r="I118" s="70">
        <f t="shared" si="5"/>
        <v>0.24433333333333335</v>
      </c>
      <c r="J118" s="69" t="s">
        <v>26</v>
      </c>
      <c r="K118" s="69" t="s">
        <v>26</v>
      </c>
      <c r="L118" s="69" t="s">
        <v>8</v>
      </c>
      <c r="M118" s="69" t="s">
        <v>8</v>
      </c>
      <c r="N118" s="69" t="s">
        <v>2</v>
      </c>
      <c r="O118" s="69" t="s">
        <v>2</v>
      </c>
      <c r="P118" s="69" t="s">
        <v>2</v>
      </c>
      <c r="Q118" s="75" t="s">
        <v>2</v>
      </c>
      <c r="R118" s="69" t="s">
        <v>2</v>
      </c>
      <c r="S118" s="69" t="s">
        <v>2</v>
      </c>
      <c r="T118" s="69" t="s">
        <v>699</v>
      </c>
      <c r="U118" s="75" t="s">
        <v>2</v>
      </c>
      <c r="V118" s="75" t="s">
        <v>2</v>
      </c>
      <c r="W118" s="75" t="s">
        <v>2</v>
      </c>
      <c r="X118" s="75" t="s">
        <v>2</v>
      </c>
      <c r="Y118" s="75" t="s">
        <v>720</v>
      </c>
      <c r="Z118" s="69" t="s">
        <v>79</v>
      </c>
      <c r="AA118" s="69" t="s">
        <v>714</v>
      </c>
      <c r="AB118" s="69" t="s">
        <v>714</v>
      </c>
      <c r="AC118" s="69" t="s">
        <v>949</v>
      </c>
      <c r="AD118" s="72">
        <f>Table13[[#This Row],[Carbon footprint per inhaler attributed to propellant PrescQIPP calculated as gCO2e (from PIL or as assigned in the methodology)11-13]]</f>
        <v>17160</v>
      </c>
      <c r="AE118" s="75" t="s">
        <v>530</v>
      </c>
      <c r="AF118" s="75" t="s">
        <v>46</v>
      </c>
      <c r="AG118" s="75" t="s">
        <v>46</v>
      </c>
      <c r="AH118" s="75" t="s">
        <v>46</v>
      </c>
      <c r="AI118" s="75" t="s">
        <v>46</v>
      </c>
      <c r="AJ118" s="72" t="str">
        <f>IF(Table13[[#This Row],[Indicative carbon footprint /inhaler (gCO2e) 7,8]]&gt;1796,"High","Low")</f>
        <v>High</v>
      </c>
      <c r="AK118" s="75" t="s">
        <v>46</v>
      </c>
      <c r="AL118" s="72" t="s">
        <v>46</v>
      </c>
      <c r="AM118" s="69"/>
      <c r="AN118" s="69" t="s">
        <v>177</v>
      </c>
      <c r="AO118" s="90">
        <v>12</v>
      </c>
      <c r="AP118" s="69">
        <v>1.72E-2</v>
      </c>
      <c r="AQ118" s="72">
        <f>1430*Table13[[#This Row],[Amount of propellant per inhaler (from PIL) (g)12-13]]</f>
        <v>17160</v>
      </c>
      <c r="AR118" s="74" t="s">
        <v>206</v>
      </c>
      <c r="AS118" s="69" t="s">
        <v>34</v>
      </c>
      <c r="AT118" s="69" t="s">
        <v>35</v>
      </c>
      <c r="AU118" s="69">
        <v>79</v>
      </c>
      <c r="AV118" s="69">
        <v>65</v>
      </c>
      <c r="AW118" s="69" t="s">
        <v>422</v>
      </c>
      <c r="AX118" s="69" t="s">
        <v>272</v>
      </c>
      <c r="AY118" s="69">
        <v>2061</v>
      </c>
      <c r="AZ118" s="69" t="s">
        <v>423</v>
      </c>
      <c r="BA118" s="69" t="s">
        <v>423</v>
      </c>
      <c r="BB118" s="69">
        <v>33</v>
      </c>
      <c r="BC118" s="69">
        <v>10678</v>
      </c>
      <c r="BD118" s="69">
        <v>6084</v>
      </c>
      <c r="BE118" s="69" t="s">
        <v>46</v>
      </c>
      <c r="BF118" s="69" t="s">
        <v>205</v>
      </c>
      <c r="BG118" s="69" t="s">
        <v>46</v>
      </c>
      <c r="BH118" s="69" t="s">
        <v>46</v>
      </c>
      <c r="BI118" s="69" t="s">
        <v>46</v>
      </c>
      <c r="BJ118" s="69" t="s">
        <v>46</v>
      </c>
      <c r="BK118" s="69" t="s">
        <v>46</v>
      </c>
      <c r="BL118" s="69" t="s">
        <v>36</v>
      </c>
      <c r="BM118" s="75" t="s">
        <v>843</v>
      </c>
      <c r="BN118" s="75" t="s">
        <v>878</v>
      </c>
      <c r="BO118" s="72">
        <v>19485</v>
      </c>
      <c r="BP118" s="72">
        <v>17160</v>
      </c>
      <c r="BQ118" s="75" t="s">
        <v>11</v>
      </c>
      <c r="BR118" s="72">
        <f>Table13[[#This Row],[Inhaler carbon footprint per inhaler in v2.37 (gCO2e) ]]-Table13[[#This Row],[Inhaler carbon footprint per inhaler in v2.36 (gCO2e) ]]</f>
        <v>-2325</v>
      </c>
      <c r="BS118" s="72">
        <f>Table13[[#This Row],[Inhaler carbon footprint per inhaler in v2.37 (gCO2e) ]]-Table13[[#This Row],[Inhaler carbon footprint per inhaler in v2.36 (gCO2e) ]]</f>
        <v>-2325</v>
      </c>
    </row>
    <row r="119" spans="1:71" ht="409.5" x14ac:dyDescent="0.25">
      <c r="A119" s="69" t="s">
        <v>375</v>
      </c>
      <c r="B119" s="69" t="s">
        <v>30</v>
      </c>
      <c r="C119" s="69" t="s">
        <v>751</v>
      </c>
      <c r="D119" s="69" t="s">
        <v>12</v>
      </c>
      <c r="E119" s="69" t="s">
        <v>6</v>
      </c>
      <c r="F119" s="69" t="s">
        <v>13</v>
      </c>
      <c r="G119" s="69">
        <v>120</v>
      </c>
      <c r="H119" s="70">
        <v>17.46</v>
      </c>
      <c r="I119" s="70">
        <f t="shared" si="5"/>
        <v>0.14550000000000002</v>
      </c>
      <c r="J119" s="69" t="s">
        <v>19</v>
      </c>
      <c r="K119" s="69" t="s">
        <v>76</v>
      </c>
      <c r="L119" s="69" t="s">
        <v>8</v>
      </c>
      <c r="M119" s="69" t="s">
        <v>8</v>
      </c>
      <c r="N119" s="69" t="s">
        <v>2</v>
      </c>
      <c r="O119" s="69" t="s">
        <v>2</v>
      </c>
      <c r="P119" s="69" t="s">
        <v>2</v>
      </c>
      <c r="Q119" s="75" t="s">
        <v>2</v>
      </c>
      <c r="R119" s="69" t="s">
        <v>699</v>
      </c>
      <c r="S119" s="69" t="s">
        <v>2</v>
      </c>
      <c r="T119" s="69" t="s">
        <v>2</v>
      </c>
      <c r="U119" s="75" t="s">
        <v>2</v>
      </c>
      <c r="V119" s="75" t="s">
        <v>2</v>
      </c>
      <c r="W119" s="75" t="s">
        <v>2</v>
      </c>
      <c r="X119" s="75" t="s">
        <v>2</v>
      </c>
      <c r="Y119" s="75" t="s">
        <v>720</v>
      </c>
      <c r="Z119" s="69" t="s">
        <v>79</v>
      </c>
      <c r="AA119" s="69" t="s">
        <v>714</v>
      </c>
      <c r="AB119" s="69" t="s">
        <v>714</v>
      </c>
      <c r="AC119" s="69" t="s">
        <v>949</v>
      </c>
      <c r="AD119" s="72">
        <f>Table13[[#This Row],[Carbon footprint per inhaler attributed to propellant PrescQIPP calculated as gCO2e (from PIL or as assigned in the methodology)11-13]]</f>
        <v>17160</v>
      </c>
      <c r="AE119" s="75" t="s">
        <v>530</v>
      </c>
      <c r="AF119" s="75" t="s">
        <v>46</v>
      </c>
      <c r="AG119" s="75" t="s">
        <v>46</v>
      </c>
      <c r="AH119" s="75" t="s">
        <v>46</v>
      </c>
      <c r="AI119" s="75" t="s">
        <v>46</v>
      </c>
      <c r="AJ119" s="72" t="str">
        <f>IF(Table13[[#This Row],[Indicative carbon footprint /inhaler (gCO2e) 7,8]]&gt;1796,"High","Low")</f>
        <v>High</v>
      </c>
      <c r="AK119" s="75" t="s">
        <v>46</v>
      </c>
      <c r="AL119" s="72" t="s">
        <v>46</v>
      </c>
      <c r="AM119" s="69"/>
      <c r="AN119" s="69" t="s">
        <v>177</v>
      </c>
      <c r="AO119" s="90">
        <v>12</v>
      </c>
      <c r="AP119" s="69">
        <v>1.72E-2</v>
      </c>
      <c r="AQ119" s="72">
        <f>1430*Table13[[#This Row],[Amount of propellant per inhaler (from PIL) (g)12-13]]</f>
        <v>17160</v>
      </c>
      <c r="AR119" s="74" t="s">
        <v>548</v>
      </c>
      <c r="AS119" s="69" t="s">
        <v>34</v>
      </c>
      <c r="AT119" s="69" t="s">
        <v>35</v>
      </c>
      <c r="AU119" s="69">
        <v>79</v>
      </c>
      <c r="AV119" s="69">
        <v>65</v>
      </c>
      <c r="AW119" s="69" t="s">
        <v>422</v>
      </c>
      <c r="AX119" s="69" t="s">
        <v>272</v>
      </c>
      <c r="AY119" s="69">
        <v>2061</v>
      </c>
      <c r="AZ119" s="69" t="s">
        <v>423</v>
      </c>
      <c r="BA119" s="69" t="s">
        <v>423</v>
      </c>
      <c r="BB119" s="69">
        <v>33</v>
      </c>
      <c r="BC119" s="69">
        <v>10678</v>
      </c>
      <c r="BD119" s="69">
        <v>6084</v>
      </c>
      <c r="BE119" s="69" t="s">
        <v>46</v>
      </c>
      <c r="BF119" s="69" t="s">
        <v>205</v>
      </c>
      <c r="BG119" s="69" t="s">
        <v>46</v>
      </c>
      <c r="BH119" s="69" t="s">
        <v>46</v>
      </c>
      <c r="BI119" s="69" t="s">
        <v>46</v>
      </c>
      <c r="BJ119" s="69" t="s">
        <v>46</v>
      </c>
      <c r="BK119" s="69" t="s">
        <v>46</v>
      </c>
      <c r="BL119" s="69" t="s">
        <v>36</v>
      </c>
      <c r="BM119" s="75" t="s">
        <v>843</v>
      </c>
      <c r="BN119" s="75" t="s">
        <v>878</v>
      </c>
      <c r="BO119" s="72">
        <v>19485</v>
      </c>
      <c r="BP119" s="72">
        <v>17160</v>
      </c>
      <c r="BQ119" s="75" t="s">
        <v>11</v>
      </c>
      <c r="BR119" s="72">
        <f>Table13[[#This Row],[Inhaler carbon footprint per inhaler in v2.37 (gCO2e) ]]-Table13[[#This Row],[Inhaler carbon footprint per inhaler in v2.36 (gCO2e) ]]</f>
        <v>-2325</v>
      </c>
      <c r="BS119" s="72">
        <f>Table13[[#This Row],[Inhaler carbon footprint per inhaler in v2.37 (gCO2e) ]]-Table13[[#This Row],[Inhaler carbon footprint per inhaler in v2.36 (gCO2e) ]]</f>
        <v>-2325</v>
      </c>
    </row>
    <row r="120" spans="1:71" ht="330" x14ac:dyDescent="0.25">
      <c r="A120" s="69" t="s">
        <v>376</v>
      </c>
      <c r="B120" s="69" t="s">
        <v>30</v>
      </c>
      <c r="C120" s="69" t="s">
        <v>377</v>
      </c>
      <c r="D120" s="69" t="s">
        <v>5</v>
      </c>
      <c r="E120" s="69" t="s">
        <v>44</v>
      </c>
      <c r="F120" s="69" t="s">
        <v>3</v>
      </c>
      <c r="G120" s="69">
        <v>60</v>
      </c>
      <c r="H120" s="70">
        <v>35.11</v>
      </c>
      <c r="I120" s="70">
        <f t="shared" si="5"/>
        <v>0.58516666666666661</v>
      </c>
      <c r="J120" s="69" t="s">
        <v>19</v>
      </c>
      <c r="K120" s="69" t="s">
        <v>207</v>
      </c>
      <c r="L120" s="69" t="s">
        <v>2</v>
      </c>
      <c r="M120" s="75" t="s">
        <v>8</v>
      </c>
      <c r="N120" s="75" t="s">
        <v>2</v>
      </c>
      <c r="O120" s="75" t="s">
        <v>2</v>
      </c>
      <c r="P120" s="75" t="s">
        <v>2</v>
      </c>
      <c r="Q120" s="75" t="s">
        <v>2</v>
      </c>
      <c r="R120" s="75" t="s">
        <v>2</v>
      </c>
      <c r="S120" s="75" t="s">
        <v>2</v>
      </c>
      <c r="T120" s="75" t="s">
        <v>2</v>
      </c>
      <c r="U120" s="75" t="s">
        <v>2</v>
      </c>
      <c r="V120" s="75" t="s">
        <v>2</v>
      </c>
      <c r="W120" s="75" t="s">
        <v>2</v>
      </c>
      <c r="X120" s="75" t="s">
        <v>2</v>
      </c>
      <c r="Y120" s="75" t="s">
        <v>2</v>
      </c>
      <c r="Z120" s="69" t="s">
        <v>79</v>
      </c>
      <c r="AA120" s="69" t="s">
        <v>730</v>
      </c>
      <c r="AB120" s="69" t="s">
        <v>931</v>
      </c>
      <c r="AC120" s="69" t="s">
        <v>925</v>
      </c>
      <c r="AD120" s="72">
        <v>732</v>
      </c>
      <c r="AE120" s="75" t="s">
        <v>9</v>
      </c>
      <c r="AF120" s="75" t="s">
        <v>46</v>
      </c>
      <c r="AG120" s="75" t="s">
        <v>46</v>
      </c>
      <c r="AH120" s="75" t="s">
        <v>46</v>
      </c>
      <c r="AI120" s="75" t="s">
        <v>46</v>
      </c>
      <c r="AJ120" s="72" t="str">
        <f>IF(Table13[[#This Row],[Indicative carbon footprint /inhaler (gCO2e) 7,8]]&gt;1796,"High","Low")</f>
        <v>Low</v>
      </c>
      <c r="AK120" s="75" t="s">
        <v>46</v>
      </c>
      <c r="AL120" s="72" t="s">
        <v>46</v>
      </c>
      <c r="AM120" s="69"/>
      <c r="AN120" s="69" t="s">
        <v>2</v>
      </c>
      <c r="AO120" s="69" t="s">
        <v>2</v>
      </c>
      <c r="AP120" s="69" t="s">
        <v>2</v>
      </c>
      <c r="AQ120" s="69" t="s">
        <v>2</v>
      </c>
      <c r="AR120" s="74" t="s">
        <v>208</v>
      </c>
      <c r="AS120" s="69" t="s">
        <v>34</v>
      </c>
      <c r="AT120" s="69" t="s">
        <v>35</v>
      </c>
      <c r="AU120" s="69">
        <v>9</v>
      </c>
      <c r="AV120" s="69">
        <v>372</v>
      </c>
      <c r="AW120" s="69" t="s">
        <v>422</v>
      </c>
      <c r="AX120" s="69" t="s">
        <v>272</v>
      </c>
      <c r="AY120" s="69">
        <v>180</v>
      </c>
      <c r="AZ120" s="69" t="s">
        <v>423</v>
      </c>
      <c r="BA120" s="69" t="s">
        <v>423</v>
      </c>
      <c r="BB120" s="69">
        <v>63</v>
      </c>
      <c r="BC120" s="69">
        <v>126</v>
      </c>
      <c r="BD120" s="69">
        <v>9</v>
      </c>
      <c r="BE120" s="69" t="s">
        <v>46</v>
      </c>
      <c r="BF120" s="69" t="s">
        <v>2</v>
      </c>
      <c r="BG120" s="69" t="s">
        <v>2</v>
      </c>
      <c r="BH120" s="69" t="s">
        <v>2</v>
      </c>
      <c r="BI120" s="69" t="s">
        <v>2</v>
      </c>
      <c r="BJ120" s="69" t="s">
        <v>2</v>
      </c>
      <c r="BK120" s="69" t="s">
        <v>2</v>
      </c>
      <c r="BL120" s="69" t="s">
        <v>36</v>
      </c>
      <c r="BM120" s="75" t="s">
        <v>843</v>
      </c>
      <c r="BN120" s="75" t="s">
        <v>2</v>
      </c>
      <c r="BO120" s="72">
        <v>732</v>
      </c>
      <c r="BP120" s="72">
        <v>732</v>
      </c>
      <c r="BQ120" s="75" t="s">
        <v>34</v>
      </c>
      <c r="BR120" s="72">
        <f>Table13[[#This Row],[Inhaler carbon footprint per inhaler in v2.37 (gCO2e) ]]-Table13[[#This Row],[Inhaler carbon footprint per inhaler in v2.36 (gCO2e) ]]</f>
        <v>0</v>
      </c>
      <c r="BS120" s="72" t="s">
        <v>809</v>
      </c>
    </row>
    <row r="121" spans="1:71" ht="409.5" x14ac:dyDescent="0.25">
      <c r="A121" s="69" t="s">
        <v>378</v>
      </c>
      <c r="B121" s="69" t="s">
        <v>30</v>
      </c>
      <c r="C121" s="69" t="s">
        <v>379</v>
      </c>
      <c r="D121" s="69" t="s">
        <v>5</v>
      </c>
      <c r="E121" s="69" t="s">
        <v>44</v>
      </c>
      <c r="F121" s="69" t="s">
        <v>13</v>
      </c>
      <c r="G121" s="69">
        <v>120</v>
      </c>
      <c r="H121" s="70">
        <v>29.26</v>
      </c>
      <c r="I121" s="70">
        <f t="shared" si="5"/>
        <v>0.24383333333333335</v>
      </c>
      <c r="J121" s="69" t="s">
        <v>19</v>
      </c>
      <c r="K121" s="69" t="s">
        <v>76</v>
      </c>
      <c r="L121" s="69" t="s">
        <v>2</v>
      </c>
      <c r="M121" s="75" t="s">
        <v>8</v>
      </c>
      <c r="N121" s="75" t="s">
        <v>2</v>
      </c>
      <c r="O121" s="75" t="s">
        <v>2</v>
      </c>
      <c r="P121" s="75" t="s">
        <v>2</v>
      </c>
      <c r="Q121" s="75" t="s">
        <v>2</v>
      </c>
      <c r="R121" s="75" t="s">
        <v>2</v>
      </c>
      <c r="S121" s="75" t="s">
        <v>2</v>
      </c>
      <c r="T121" s="75" t="s">
        <v>2</v>
      </c>
      <c r="U121" s="75" t="s">
        <v>2</v>
      </c>
      <c r="V121" s="75" t="s">
        <v>2</v>
      </c>
      <c r="W121" s="75" t="s">
        <v>2</v>
      </c>
      <c r="X121" s="75" t="s">
        <v>2</v>
      </c>
      <c r="Y121" s="75" t="s">
        <v>2</v>
      </c>
      <c r="Z121" s="69" t="s">
        <v>8</v>
      </c>
      <c r="AA121" s="69" t="s">
        <v>714</v>
      </c>
      <c r="AB121" s="69" t="s">
        <v>714</v>
      </c>
      <c r="AC121" s="69" t="s">
        <v>954</v>
      </c>
      <c r="AD121" s="72">
        <f>Table13[[#This Row],[Carbon footprint per inhaler attributed to propellant PrescQIPP calculated as gCO2e (from PIL or as assigned in the methodology)11-13]]</f>
        <v>17160</v>
      </c>
      <c r="AE121" s="75" t="s">
        <v>530</v>
      </c>
      <c r="AF121" s="75" t="s">
        <v>46</v>
      </c>
      <c r="AG121" s="75" t="s">
        <v>46</v>
      </c>
      <c r="AH121" s="75" t="s">
        <v>46</v>
      </c>
      <c r="AI121" s="75" t="s">
        <v>46</v>
      </c>
      <c r="AJ121" s="72" t="str">
        <f>IF(Table13[[#This Row],[Indicative carbon footprint /inhaler (gCO2e) 7,8]]&gt;1796,"High","Low")</f>
        <v>High</v>
      </c>
      <c r="AK121" s="75" t="s">
        <v>46</v>
      </c>
      <c r="AL121" s="72" t="s">
        <v>46</v>
      </c>
      <c r="AM121" s="69"/>
      <c r="AN121" s="69" t="s">
        <v>177</v>
      </c>
      <c r="AO121" s="69">
        <v>12</v>
      </c>
      <c r="AP121" s="69">
        <v>1.72E-2</v>
      </c>
      <c r="AQ121" s="72">
        <f>1430*Table13[[#This Row],[Amount of propellant per inhaler (from PIL) (g)12-13]]</f>
        <v>17160</v>
      </c>
      <c r="AR121" s="74" t="s">
        <v>209</v>
      </c>
      <c r="AS121" s="69" t="s">
        <v>34</v>
      </c>
      <c r="AT121" s="69" t="s">
        <v>35</v>
      </c>
      <c r="AU121" s="69">
        <v>25</v>
      </c>
      <c r="AV121" s="69">
        <v>60</v>
      </c>
      <c r="AW121" s="69" t="s">
        <v>422</v>
      </c>
      <c r="AX121" s="69" t="s">
        <v>272</v>
      </c>
      <c r="AY121" s="69">
        <v>1908</v>
      </c>
      <c r="AZ121" s="69" t="s">
        <v>423</v>
      </c>
      <c r="BA121" s="69" t="s">
        <v>423</v>
      </c>
      <c r="BB121" s="69">
        <v>30</v>
      </c>
      <c r="BC121" s="69">
        <v>11308</v>
      </c>
      <c r="BD121" s="69">
        <v>5670</v>
      </c>
      <c r="BE121" s="69" t="s">
        <v>205</v>
      </c>
      <c r="BF121" s="69" t="s">
        <v>46</v>
      </c>
      <c r="BG121" s="69" t="s">
        <v>46</v>
      </c>
      <c r="BH121" s="69" t="s">
        <v>46</v>
      </c>
      <c r="BI121" s="69" t="s">
        <v>46</v>
      </c>
      <c r="BJ121" s="69" t="s">
        <v>46</v>
      </c>
      <c r="BK121" s="69" t="s">
        <v>46</v>
      </c>
      <c r="BL121" s="69" t="s">
        <v>46</v>
      </c>
      <c r="BM121" s="75" t="s">
        <v>843</v>
      </c>
      <c r="BN121" s="75" t="s">
        <v>878</v>
      </c>
      <c r="BO121" s="72">
        <v>19223</v>
      </c>
      <c r="BP121" s="72">
        <v>17160</v>
      </c>
      <c r="BQ121" s="75" t="s">
        <v>11</v>
      </c>
      <c r="BR121" s="72">
        <f>Table13[[#This Row],[Inhaler carbon footprint per inhaler in v2.37 (gCO2e) ]]-Table13[[#This Row],[Inhaler carbon footprint per inhaler in v2.36 (gCO2e) ]]</f>
        <v>-2063</v>
      </c>
      <c r="BS121" s="72">
        <f>Table13[[#This Row],[Inhaler carbon footprint per inhaler in v2.37 (gCO2e) ]]-Table13[[#This Row],[Inhaler carbon footprint per inhaler in v2.36 (gCO2e) ]]</f>
        <v>-2063</v>
      </c>
    </row>
    <row r="122" spans="1:71" ht="270" x14ac:dyDescent="0.25">
      <c r="A122" s="69" t="s">
        <v>380</v>
      </c>
      <c r="B122" s="75" t="s">
        <v>892</v>
      </c>
      <c r="C122" s="69" t="s">
        <v>749</v>
      </c>
      <c r="D122" s="69" t="s">
        <v>12</v>
      </c>
      <c r="E122" s="69" t="s">
        <v>6</v>
      </c>
      <c r="F122" s="69" t="s">
        <v>13</v>
      </c>
      <c r="G122" s="69">
        <v>120</v>
      </c>
      <c r="H122" s="70">
        <v>22.45</v>
      </c>
      <c r="I122" s="70">
        <f t="shared" si="5"/>
        <v>0.18708333333333332</v>
      </c>
      <c r="J122" s="69" t="s">
        <v>7</v>
      </c>
      <c r="K122" s="69" t="s">
        <v>7</v>
      </c>
      <c r="L122" s="69" t="s">
        <v>8</v>
      </c>
      <c r="M122" s="69" t="s">
        <v>8</v>
      </c>
      <c r="N122" s="69" t="s">
        <v>2</v>
      </c>
      <c r="O122" s="69" t="s">
        <v>2</v>
      </c>
      <c r="P122" s="69" t="s">
        <v>2</v>
      </c>
      <c r="Q122" s="75" t="s">
        <v>2</v>
      </c>
      <c r="R122" s="69" t="s">
        <v>2</v>
      </c>
      <c r="S122" s="69" t="s">
        <v>699</v>
      </c>
      <c r="T122" s="69" t="s">
        <v>2</v>
      </c>
      <c r="U122" s="75" t="s">
        <v>2</v>
      </c>
      <c r="V122" s="75" t="s">
        <v>2</v>
      </c>
      <c r="W122" s="75" t="s">
        <v>2</v>
      </c>
      <c r="X122" s="75" t="s">
        <v>2</v>
      </c>
      <c r="Y122" s="75" t="s">
        <v>720</v>
      </c>
      <c r="Z122" s="69" t="s">
        <v>79</v>
      </c>
      <c r="AA122" s="69" t="s">
        <v>731</v>
      </c>
      <c r="AB122" s="69" t="s">
        <v>731</v>
      </c>
      <c r="AC122" s="69" t="s">
        <v>948</v>
      </c>
      <c r="AD122" s="72">
        <f>Table13[[#This Row],[Carbon footprint per inhaler attributed to propellant PrescQIPP calculated as gCO2e (from PIL or as assigned in the methodology)11-13]]</f>
        <v>17516.07</v>
      </c>
      <c r="AE122" s="75" t="s">
        <v>530</v>
      </c>
      <c r="AF122" s="75" t="s">
        <v>46</v>
      </c>
      <c r="AG122" s="75" t="s">
        <v>46</v>
      </c>
      <c r="AH122" s="75" t="s">
        <v>46</v>
      </c>
      <c r="AI122" s="75" t="s">
        <v>46</v>
      </c>
      <c r="AJ122" s="72" t="str">
        <f>IF(Table13[[#This Row],[Indicative carbon footprint /inhaler (gCO2e) 7,8]]&gt;1796,"High","Low")</f>
        <v>High</v>
      </c>
      <c r="AK122" s="75" t="s">
        <v>46</v>
      </c>
      <c r="AL122" s="72" t="s">
        <v>46</v>
      </c>
      <c r="AM122" s="69"/>
      <c r="AN122" s="69" t="s">
        <v>177</v>
      </c>
      <c r="AO122" s="90">
        <v>12.249000000000001</v>
      </c>
      <c r="AP122" s="69">
        <v>1.7999999999999999E-2</v>
      </c>
      <c r="AQ122" s="72">
        <f>1430*Table13[[#This Row],[Amount of propellant per inhaler (from PIL) (g)12-13]]</f>
        <v>17516.07</v>
      </c>
      <c r="AR122" s="74" t="s">
        <v>210</v>
      </c>
      <c r="AS122" s="69" t="s">
        <v>34</v>
      </c>
      <c r="AT122" s="69" t="s">
        <v>46</v>
      </c>
      <c r="AU122" s="69" t="s">
        <v>46</v>
      </c>
      <c r="AV122" s="69" t="s">
        <v>46</v>
      </c>
      <c r="AW122" s="69" t="s">
        <v>46</v>
      </c>
      <c r="AX122" s="69" t="s">
        <v>46</v>
      </c>
      <c r="AY122" s="69" t="s">
        <v>46</v>
      </c>
      <c r="AZ122" s="69" t="s">
        <v>46</v>
      </c>
      <c r="BA122" s="69" t="s">
        <v>46</v>
      </c>
      <c r="BB122" s="69" t="s">
        <v>46</v>
      </c>
      <c r="BC122" s="69" t="s">
        <v>46</v>
      </c>
      <c r="BD122" s="69" t="s">
        <v>46</v>
      </c>
      <c r="BE122" s="69" t="s">
        <v>46</v>
      </c>
      <c r="BF122" s="69" t="s">
        <v>46</v>
      </c>
      <c r="BG122" s="69" t="s">
        <v>46</v>
      </c>
      <c r="BH122" s="69" t="s">
        <v>46</v>
      </c>
      <c r="BI122" s="69" t="s">
        <v>46</v>
      </c>
      <c r="BJ122" s="69" t="s">
        <v>46</v>
      </c>
      <c r="BK122" s="69" t="s">
        <v>46</v>
      </c>
      <c r="BL122" s="69" t="s">
        <v>46</v>
      </c>
      <c r="BM122" s="75" t="s">
        <v>843</v>
      </c>
      <c r="BN122" s="75" t="s">
        <v>878</v>
      </c>
      <c r="BO122" s="72">
        <v>19620</v>
      </c>
      <c r="BP122" s="72">
        <v>17516.07</v>
      </c>
      <c r="BQ122" s="75" t="s">
        <v>11</v>
      </c>
      <c r="BR122" s="72">
        <f>Table13[[#This Row],[Inhaler carbon footprint per inhaler in v2.37 (gCO2e) ]]-Table13[[#This Row],[Inhaler carbon footprint per inhaler in v2.36 (gCO2e) ]]</f>
        <v>-2103.9300000000003</v>
      </c>
      <c r="BS122" s="72">
        <f>Table13[[#This Row],[Inhaler carbon footprint per inhaler in v2.37 (gCO2e) ]]-Table13[[#This Row],[Inhaler carbon footprint per inhaler in v2.36 (gCO2e) ]]</f>
        <v>-2103.9300000000003</v>
      </c>
    </row>
    <row r="123" spans="1:71" ht="270" x14ac:dyDescent="0.25">
      <c r="A123" s="69" t="s">
        <v>381</v>
      </c>
      <c r="B123" s="75" t="s">
        <v>892</v>
      </c>
      <c r="C123" s="69" t="s">
        <v>750</v>
      </c>
      <c r="D123" s="69" t="s">
        <v>12</v>
      </c>
      <c r="E123" s="69" t="s">
        <v>6</v>
      </c>
      <c r="F123" s="69" t="s">
        <v>13</v>
      </c>
      <c r="G123" s="69">
        <v>120</v>
      </c>
      <c r="H123" s="70">
        <v>28.32</v>
      </c>
      <c r="I123" s="70">
        <f t="shared" si="5"/>
        <v>0.23600000000000002</v>
      </c>
      <c r="J123" s="69" t="s">
        <v>7</v>
      </c>
      <c r="K123" s="69" t="s">
        <v>7</v>
      </c>
      <c r="L123" s="69" t="s">
        <v>8</v>
      </c>
      <c r="M123" s="69" t="s">
        <v>8</v>
      </c>
      <c r="N123" s="69" t="s">
        <v>2</v>
      </c>
      <c r="O123" s="69" t="s">
        <v>2</v>
      </c>
      <c r="P123" s="69" t="s">
        <v>2</v>
      </c>
      <c r="Q123" s="75" t="s">
        <v>2</v>
      </c>
      <c r="R123" s="69" t="s">
        <v>2</v>
      </c>
      <c r="S123" s="69" t="s">
        <v>2</v>
      </c>
      <c r="T123" s="69" t="s">
        <v>699</v>
      </c>
      <c r="U123" s="75" t="s">
        <v>2</v>
      </c>
      <c r="V123" s="75" t="s">
        <v>2</v>
      </c>
      <c r="W123" s="75" t="s">
        <v>2</v>
      </c>
      <c r="X123" s="75" t="s">
        <v>2</v>
      </c>
      <c r="Y123" s="75" t="s">
        <v>720</v>
      </c>
      <c r="Z123" s="69" t="s">
        <v>79</v>
      </c>
      <c r="AA123" s="69" t="s">
        <v>714</v>
      </c>
      <c r="AB123" s="69" t="s">
        <v>714</v>
      </c>
      <c r="AC123" s="69" t="s">
        <v>948</v>
      </c>
      <c r="AD123" s="72">
        <f>Table13[[#This Row],[Carbon footprint per inhaler attributed to propellant PrescQIPP calculated as gCO2e (from PIL or as assigned in the methodology)11-13]]</f>
        <v>17486.04</v>
      </c>
      <c r="AE123" s="75" t="s">
        <v>530</v>
      </c>
      <c r="AF123" s="75" t="s">
        <v>46</v>
      </c>
      <c r="AG123" s="75" t="s">
        <v>46</v>
      </c>
      <c r="AH123" s="75" t="s">
        <v>46</v>
      </c>
      <c r="AI123" s="75" t="s">
        <v>46</v>
      </c>
      <c r="AJ123" s="72" t="str">
        <f>IF(Table13[[#This Row],[Indicative carbon footprint /inhaler (gCO2e) 7,8]]&gt;1796,"High","Low")</f>
        <v>High</v>
      </c>
      <c r="AK123" s="75" t="s">
        <v>46</v>
      </c>
      <c r="AL123" s="72" t="s">
        <v>46</v>
      </c>
      <c r="AM123" s="69"/>
      <c r="AN123" s="69" t="s">
        <v>177</v>
      </c>
      <c r="AO123" s="90">
        <v>12.228</v>
      </c>
      <c r="AP123" s="69">
        <v>1.7000000000000001E-2</v>
      </c>
      <c r="AQ123" s="72">
        <f>1430*Table13[[#This Row],[Amount of propellant per inhaler (from PIL) (g)12-13]]</f>
        <v>17486.04</v>
      </c>
      <c r="AR123" s="74" t="s">
        <v>211</v>
      </c>
      <c r="AS123" s="69" t="s">
        <v>34</v>
      </c>
      <c r="AT123" s="69" t="s">
        <v>46</v>
      </c>
      <c r="AU123" s="69" t="s">
        <v>46</v>
      </c>
      <c r="AV123" s="69" t="s">
        <v>46</v>
      </c>
      <c r="AW123" s="69" t="s">
        <v>46</v>
      </c>
      <c r="AX123" s="69" t="s">
        <v>46</v>
      </c>
      <c r="AY123" s="69" t="s">
        <v>46</v>
      </c>
      <c r="AZ123" s="69" t="s">
        <v>46</v>
      </c>
      <c r="BA123" s="69" t="s">
        <v>46</v>
      </c>
      <c r="BB123" s="69" t="s">
        <v>46</v>
      </c>
      <c r="BC123" s="69" t="s">
        <v>46</v>
      </c>
      <c r="BD123" s="69" t="s">
        <v>46</v>
      </c>
      <c r="BE123" s="69" t="s">
        <v>46</v>
      </c>
      <c r="BF123" s="69" t="s">
        <v>46</v>
      </c>
      <c r="BG123" s="69" t="s">
        <v>46</v>
      </c>
      <c r="BH123" s="69" t="s">
        <v>46</v>
      </c>
      <c r="BI123" s="69" t="s">
        <v>46</v>
      </c>
      <c r="BJ123" s="69" t="s">
        <v>46</v>
      </c>
      <c r="BK123" s="69" t="s">
        <v>46</v>
      </c>
      <c r="BL123" s="69" t="s">
        <v>46</v>
      </c>
      <c r="BM123" s="75" t="s">
        <v>843</v>
      </c>
      <c r="BN123" s="75" t="s">
        <v>878</v>
      </c>
      <c r="BO123" s="72">
        <v>19620</v>
      </c>
      <c r="BP123" s="72">
        <v>17486.04</v>
      </c>
      <c r="BQ123" s="75" t="s">
        <v>11</v>
      </c>
      <c r="BR123" s="72">
        <f>Table13[[#This Row],[Inhaler carbon footprint per inhaler in v2.37 (gCO2e) ]]-Table13[[#This Row],[Inhaler carbon footprint per inhaler in v2.36 (gCO2e) ]]</f>
        <v>-2133.9599999999991</v>
      </c>
      <c r="BS123" s="72">
        <f>Table13[[#This Row],[Inhaler carbon footprint per inhaler in v2.37 (gCO2e) ]]-Table13[[#This Row],[Inhaler carbon footprint per inhaler in v2.36 (gCO2e) ]]</f>
        <v>-2133.9599999999991</v>
      </c>
    </row>
    <row r="124" spans="1:71" ht="150" x14ac:dyDescent="0.25">
      <c r="A124" s="69" t="s">
        <v>382</v>
      </c>
      <c r="B124" s="69" t="s">
        <v>145</v>
      </c>
      <c r="C124" s="69" t="s">
        <v>379</v>
      </c>
      <c r="D124" s="69" t="s">
        <v>5</v>
      </c>
      <c r="E124" s="69" t="s">
        <v>44</v>
      </c>
      <c r="F124" s="69" t="s">
        <v>13</v>
      </c>
      <c r="G124" s="69">
        <v>120</v>
      </c>
      <c r="H124" s="70">
        <v>19.95</v>
      </c>
      <c r="I124" s="70">
        <f t="shared" ref="I124:I125" si="6">H124/G124</f>
        <v>0.16624999999999998</v>
      </c>
      <c r="J124" s="69" t="s">
        <v>212</v>
      </c>
      <c r="K124" s="69" t="s">
        <v>212</v>
      </c>
      <c r="L124" s="69" t="s">
        <v>2</v>
      </c>
      <c r="M124" s="75" t="s">
        <v>8</v>
      </c>
      <c r="N124" s="75" t="s">
        <v>2</v>
      </c>
      <c r="O124" s="75" t="s">
        <v>2</v>
      </c>
      <c r="P124" s="75" t="s">
        <v>2</v>
      </c>
      <c r="Q124" s="75" t="s">
        <v>2</v>
      </c>
      <c r="R124" s="75" t="s">
        <v>2</v>
      </c>
      <c r="S124" s="75" t="s">
        <v>2</v>
      </c>
      <c r="T124" s="75" t="s">
        <v>2</v>
      </c>
      <c r="U124" s="75" t="s">
        <v>2</v>
      </c>
      <c r="V124" s="75" t="s">
        <v>2</v>
      </c>
      <c r="W124" s="75" t="s">
        <v>2</v>
      </c>
      <c r="X124" s="75" t="s">
        <v>2</v>
      </c>
      <c r="Y124" s="75" t="s">
        <v>2</v>
      </c>
      <c r="Z124" s="69" t="s">
        <v>8</v>
      </c>
      <c r="AA124" s="69" t="s">
        <v>714</v>
      </c>
      <c r="AB124" s="69" t="s">
        <v>714</v>
      </c>
      <c r="AC124" s="69" t="s">
        <v>950</v>
      </c>
      <c r="AD124" s="72">
        <f>Table13[[#This Row],[Carbon footprint per inhaler attributed to propellant PrescQIPP calculated as gCO2e (from PIL or as assigned in the methodology)11-13]]</f>
        <v>17875</v>
      </c>
      <c r="AE124" s="75" t="s">
        <v>530</v>
      </c>
      <c r="AF124" s="75" t="s">
        <v>46</v>
      </c>
      <c r="AG124" s="75" t="s">
        <v>46</v>
      </c>
      <c r="AH124" s="75" t="s">
        <v>46</v>
      </c>
      <c r="AI124" s="75" t="s">
        <v>46</v>
      </c>
      <c r="AJ124" s="72" t="str">
        <f>IF(Table13[[#This Row],[Indicative carbon footprint /inhaler (gCO2e) 7,8]]&gt;1796,"High","Low")</f>
        <v>High</v>
      </c>
      <c r="AK124" s="75" t="s">
        <v>46</v>
      </c>
      <c r="AL124" s="72" t="s">
        <v>46</v>
      </c>
      <c r="AM124" s="69"/>
      <c r="AN124" s="69" t="s">
        <v>177</v>
      </c>
      <c r="AO124" s="69">
        <v>12.5</v>
      </c>
      <c r="AP124" s="69">
        <v>1.7999999999999999E-2</v>
      </c>
      <c r="AQ124" s="72">
        <f>1430*Table13[[#This Row],[Amount of propellant per inhaler (from PIL) (g)12-13]]</f>
        <v>17875</v>
      </c>
      <c r="AR124" s="74" t="s">
        <v>213</v>
      </c>
      <c r="AS124" s="69" t="s">
        <v>34</v>
      </c>
      <c r="AT124" s="69" t="s">
        <v>46</v>
      </c>
      <c r="AU124" s="69" t="s">
        <v>46</v>
      </c>
      <c r="AV124" s="69" t="s">
        <v>46</v>
      </c>
      <c r="AW124" s="69" t="s">
        <v>46</v>
      </c>
      <c r="AX124" s="69" t="s">
        <v>46</v>
      </c>
      <c r="AY124" s="69" t="s">
        <v>46</v>
      </c>
      <c r="AZ124" s="69" t="s">
        <v>46</v>
      </c>
      <c r="BA124" s="69" t="s">
        <v>46</v>
      </c>
      <c r="BB124" s="69" t="s">
        <v>46</v>
      </c>
      <c r="BC124" s="69" t="s">
        <v>46</v>
      </c>
      <c r="BD124" s="69" t="s">
        <v>46</v>
      </c>
      <c r="BE124" s="69" t="s">
        <v>46</v>
      </c>
      <c r="BF124" s="69" t="s">
        <v>46</v>
      </c>
      <c r="BG124" s="69" t="s">
        <v>46</v>
      </c>
      <c r="BH124" s="69" t="s">
        <v>46</v>
      </c>
      <c r="BI124" s="69" t="s">
        <v>46</v>
      </c>
      <c r="BJ124" s="69" t="s">
        <v>46</v>
      </c>
      <c r="BK124" s="69" t="s">
        <v>46</v>
      </c>
      <c r="BL124" s="69" t="s">
        <v>46</v>
      </c>
      <c r="BM124" s="75" t="s">
        <v>843</v>
      </c>
      <c r="BN124" s="75" t="s">
        <v>878</v>
      </c>
      <c r="BO124" s="72">
        <v>15600</v>
      </c>
      <c r="BP124" s="72">
        <v>17875</v>
      </c>
      <c r="BQ124" s="75" t="s">
        <v>11</v>
      </c>
      <c r="BR124" s="72">
        <f>Table13[[#This Row],[Inhaler carbon footprint per inhaler in v2.37 (gCO2e) ]]-Table13[[#This Row],[Inhaler carbon footprint per inhaler in v2.36 (gCO2e) ]]</f>
        <v>2275</v>
      </c>
      <c r="BS124" s="72">
        <f>Table13[[#This Row],[Inhaler carbon footprint per inhaler in v2.37 (gCO2e) ]]-Table13[[#This Row],[Inhaler carbon footprint per inhaler in v2.36 (gCO2e) ]]</f>
        <v>2275</v>
      </c>
    </row>
    <row r="125" spans="1:71" ht="270" x14ac:dyDescent="0.25">
      <c r="A125" s="69" t="s">
        <v>214</v>
      </c>
      <c r="B125" s="69" t="s">
        <v>215</v>
      </c>
      <c r="C125" s="69" t="s">
        <v>305</v>
      </c>
      <c r="D125" s="69" t="s">
        <v>12</v>
      </c>
      <c r="E125" s="69" t="s">
        <v>25</v>
      </c>
      <c r="F125" s="69" t="s">
        <v>13</v>
      </c>
      <c r="G125" s="69">
        <v>200</v>
      </c>
      <c r="H125" s="70">
        <v>4.82</v>
      </c>
      <c r="I125" s="70">
        <f t="shared" si="6"/>
        <v>2.41E-2</v>
      </c>
      <c r="J125" s="69" t="s">
        <v>216</v>
      </c>
      <c r="K125" s="69" t="s">
        <v>217</v>
      </c>
      <c r="L125" s="69" t="s">
        <v>2</v>
      </c>
      <c r="M125" s="75" t="s">
        <v>8</v>
      </c>
      <c r="N125" s="75" t="s">
        <v>2</v>
      </c>
      <c r="O125" s="75" t="s">
        <v>699</v>
      </c>
      <c r="P125" s="75" t="s">
        <v>702</v>
      </c>
      <c r="Q125" s="75" t="s">
        <v>2</v>
      </c>
      <c r="R125" s="75" t="s">
        <v>2</v>
      </c>
      <c r="S125" s="75" t="s">
        <v>2</v>
      </c>
      <c r="T125" s="75" t="s">
        <v>2</v>
      </c>
      <c r="U125" s="75" t="s">
        <v>2</v>
      </c>
      <c r="V125" s="75" t="s">
        <v>2</v>
      </c>
      <c r="W125" s="75" t="s">
        <v>2</v>
      </c>
      <c r="X125" s="75" t="s">
        <v>2</v>
      </c>
      <c r="Y125" s="75" t="s">
        <v>716</v>
      </c>
      <c r="Z125" s="69" t="s">
        <v>8</v>
      </c>
      <c r="AA125" s="69" t="s">
        <v>714</v>
      </c>
      <c r="AB125" s="69" t="s">
        <v>714</v>
      </c>
      <c r="AC125" s="69" t="s">
        <v>951</v>
      </c>
      <c r="AD125" s="72">
        <f>Table13[[#This Row],[Carbon footprint per inhaler attributed to propellant PrescQIPP calculated as gCO2e (from PIL or as assigned in the methodology)11-13]]</f>
        <v>16868.28</v>
      </c>
      <c r="AE125" s="75" t="s">
        <v>530</v>
      </c>
      <c r="AF125" s="75" t="s">
        <v>46</v>
      </c>
      <c r="AG125" s="75" t="s">
        <v>46</v>
      </c>
      <c r="AH125" s="75" t="s">
        <v>46</v>
      </c>
      <c r="AI125" s="75" t="s">
        <v>46</v>
      </c>
      <c r="AJ125" s="72" t="str">
        <f>IF(Table13[[#This Row],[Indicative carbon footprint /inhaler (gCO2e) 7,8]]&gt;1796,"High","Low")</f>
        <v>High</v>
      </c>
      <c r="AK125" s="75" t="s">
        <v>46</v>
      </c>
      <c r="AL125" s="72" t="s">
        <v>46</v>
      </c>
      <c r="AM125" s="69"/>
      <c r="AN125" s="69" t="s">
        <v>177</v>
      </c>
      <c r="AO125" s="69">
        <v>11.795999999999999</v>
      </c>
      <c r="AP125" s="69">
        <v>1.7000000000000001E-2</v>
      </c>
      <c r="AQ125" s="72">
        <f>1430*Table13[[#This Row],[Amount of propellant per inhaler (from PIL) (g)12-13]]</f>
        <v>16868.28</v>
      </c>
      <c r="AR125" s="74" t="s">
        <v>218</v>
      </c>
      <c r="AS125" s="69" t="s">
        <v>34</v>
      </c>
      <c r="AT125" s="69" t="s">
        <v>477</v>
      </c>
      <c r="AU125" s="69" t="s">
        <v>46</v>
      </c>
      <c r="AV125" s="69" t="s">
        <v>46</v>
      </c>
      <c r="AW125" s="69" t="s">
        <v>46</v>
      </c>
      <c r="AX125" s="69" t="s">
        <v>46</v>
      </c>
      <c r="AY125" s="69" t="s">
        <v>46</v>
      </c>
      <c r="AZ125" s="69" t="s">
        <v>46</v>
      </c>
      <c r="BA125" s="69" t="s">
        <v>46</v>
      </c>
      <c r="BB125" s="69" t="s">
        <v>46</v>
      </c>
      <c r="BC125" s="69" t="s">
        <v>46</v>
      </c>
      <c r="BD125" s="69" t="s">
        <v>46</v>
      </c>
      <c r="BE125" s="69" t="s">
        <v>46</v>
      </c>
      <c r="BF125" s="69" t="s">
        <v>46</v>
      </c>
      <c r="BG125" s="69" t="s">
        <v>46</v>
      </c>
      <c r="BH125" s="69" t="s">
        <v>46</v>
      </c>
      <c r="BI125" s="69" t="s">
        <v>46</v>
      </c>
      <c r="BJ125" s="69" t="s">
        <v>46</v>
      </c>
      <c r="BK125" s="69" t="s">
        <v>46</v>
      </c>
      <c r="BL125" s="69" t="s">
        <v>46</v>
      </c>
      <c r="BM125" s="75" t="s">
        <v>843</v>
      </c>
      <c r="BN125" s="75" t="s">
        <v>877</v>
      </c>
      <c r="BO125" s="72">
        <v>14056</v>
      </c>
      <c r="BP125" s="72">
        <v>16868.28</v>
      </c>
      <c r="BQ125" s="75" t="s">
        <v>11</v>
      </c>
      <c r="BR125" s="72">
        <f>Table13[[#This Row],[Inhaler carbon footprint per inhaler in v2.37 (gCO2e) ]]-Table13[[#This Row],[Inhaler carbon footprint per inhaler in v2.36 (gCO2e) ]]</f>
        <v>2812.2799999999988</v>
      </c>
      <c r="BS125" s="72">
        <v>-3482</v>
      </c>
    </row>
    <row r="126" spans="1:71" ht="270" x14ac:dyDescent="0.25">
      <c r="A126" s="69" t="s">
        <v>219</v>
      </c>
      <c r="B126" s="69" t="s">
        <v>215</v>
      </c>
      <c r="C126" s="69" t="s">
        <v>307</v>
      </c>
      <c r="D126" s="69" t="s">
        <v>12</v>
      </c>
      <c r="E126" s="69" t="s">
        <v>25</v>
      </c>
      <c r="F126" s="69" t="s">
        <v>13</v>
      </c>
      <c r="G126" s="69">
        <v>200</v>
      </c>
      <c r="H126" s="70">
        <v>10.51</v>
      </c>
      <c r="I126" s="70">
        <f t="shared" ref="I126:I155" si="7">H126/G126</f>
        <v>5.2549999999999999E-2</v>
      </c>
      <c r="J126" s="69" t="s">
        <v>220</v>
      </c>
      <c r="K126" s="69" t="s">
        <v>7</v>
      </c>
      <c r="L126" s="69" t="s">
        <v>2</v>
      </c>
      <c r="M126" s="75" t="s">
        <v>8</v>
      </c>
      <c r="N126" s="75" t="s">
        <v>2</v>
      </c>
      <c r="O126" s="75" t="s">
        <v>700</v>
      </c>
      <c r="P126" s="75" t="s">
        <v>699</v>
      </c>
      <c r="Q126" s="75" t="s">
        <v>2</v>
      </c>
      <c r="R126" s="75" t="s">
        <v>2</v>
      </c>
      <c r="S126" s="75" t="s">
        <v>2</v>
      </c>
      <c r="T126" s="75" t="s">
        <v>2</v>
      </c>
      <c r="U126" s="75" t="s">
        <v>2</v>
      </c>
      <c r="V126" s="75" t="s">
        <v>2</v>
      </c>
      <c r="W126" s="75" t="s">
        <v>2</v>
      </c>
      <c r="X126" s="75" t="s">
        <v>2</v>
      </c>
      <c r="Y126" s="75" t="s">
        <v>716</v>
      </c>
      <c r="Z126" s="69" t="s">
        <v>8</v>
      </c>
      <c r="AA126" s="69" t="s">
        <v>714</v>
      </c>
      <c r="AB126" s="69" t="s">
        <v>714</v>
      </c>
      <c r="AC126" s="69" t="s">
        <v>951</v>
      </c>
      <c r="AD126" s="72">
        <f>Table13[[#This Row],[Carbon footprint per inhaler attributed to propellant PrescQIPP calculated as gCO2e (from PIL or as assigned in the methodology)11-13]]</f>
        <v>16636.62</v>
      </c>
      <c r="AE126" s="75" t="s">
        <v>530</v>
      </c>
      <c r="AF126" s="75" t="s">
        <v>46</v>
      </c>
      <c r="AG126" s="75" t="s">
        <v>46</v>
      </c>
      <c r="AH126" s="75" t="s">
        <v>46</v>
      </c>
      <c r="AI126" s="75" t="s">
        <v>46</v>
      </c>
      <c r="AJ126" s="72" t="str">
        <f>IF(Table13[[#This Row],[Indicative carbon footprint /inhaler (gCO2e) 7,8]]&gt;1796,"High","Low")</f>
        <v>High</v>
      </c>
      <c r="AK126" s="75" t="s">
        <v>46</v>
      </c>
      <c r="AL126" s="72" t="s">
        <v>46</v>
      </c>
      <c r="AM126" s="69"/>
      <c r="AN126" s="69" t="s">
        <v>177</v>
      </c>
      <c r="AO126" s="69">
        <v>11.634</v>
      </c>
      <c r="AP126" s="69">
        <v>1.7000000000000001E-2</v>
      </c>
      <c r="AQ126" s="72">
        <f>1430*Table13[[#This Row],[Amount of propellant per inhaler (from PIL) (g)12-13]]</f>
        <v>16636.62</v>
      </c>
      <c r="AR126" s="74" t="s">
        <v>221</v>
      </c>
      <c r="AS126" s="69" t="s">
        <v>34</v>
      </c>
      <c r="AT126" s="69" t="s">
        <v>477</v>
      </c>
      <c r="AU126" s="69" t="s">
        <v>46</v>
      </c>
      <c r="AV126" s="69" t="s">
        <v>46</v>
      </c>
      <c r="AW126" s="69" t="s">
        <v>46</v>
      </c>
      <c r="AX126" s="69" t="s">
        <v>46</v>
      </c>
      <c r="AY126" s="69" t="s">
        <v>46</v>
      </c>
      <c r="AZ126" s="69" t="s">
        <v>46</v>
      </c>
      <c r="BA126" s="69" t="s">
        <v>46</v>
      </c>
      <c r="BB126" s="69" t="s">
        <v>46</v>
      </c>
      <c r="BC126" s="69" t="s">
        <v>46</v>
      </c>
      <c r="BD126" s="69" t="s">
        <v>46</v>
      </c>
      <c r="BE126" s="69" t="s">
        <v>46</v>
      </c>
      <c r="BF126" s="69" t="s">
        <v>46</v>
      </c>
      <c r="BG126" s="69" t="s">
        <v>46</v>
      </c>
      <c r="BH126" s="69" t="s">
        <v>46</v>
      </c>
      <c r="BI126" s="69" t="s">
        <v>46</v>
      </c>
      <c r="BJ126" s="69" t="s">
        <v>46</v>
      </c>
      <c r="BK126" s="69" t="s">
        <v>46</v>
      </c>
      <c r="BL126" s="69" t="s">
        <v>46</v>
      </c>
      <c r="BM126" s="75" t="s">
        <v>843</v>
      </c>
      <c r="BN126" s="75" t="s">
        <v>877</v>
      </c>
      <c r="BO126" s="72">
        <v>13863.999999999998</v>
      </c>
      <c r="BP126" s="72">
        <v>16636.62</v>
      </c>
      <c r="BQ126" s="75" t="s">
        <v>11</v>
      </c>
      <c r="BR126" s="72">
        <f>Table13[[#This Row],[Inhaler carbon footprint per inhaler in v2.37 (gCO2e) ]]-Table13[[#This Row],[Inhaler carbon footprint per inhaler in v2.36 (gCO2e) ]]</f>
        <v>2772.6200000000008</v>
      </c>
      <c r="BS126" s="72">
        <v>-3713</v>
      </c>
    </row>
    <row r="127" spans="1:71" ht="270" x14ac:dyDescent="0.25">
      <c r="A127" s="69" t="s">
        <v>222</v>
      </c>
      <c r="B127" s="69" t="s">
        <v>215</v>
      </c>
      <c r="C127" s="69" t="s">
        <v>309</v>
      </c>
      <c r="D127" s="69" t="s">
        <v>12</v>
      </c>
      <c r="E127" s="69" t="s">
        <v>25</v>
      </c>
      <c r="F127" s="69" t="s">
        <v>13</v>
      </c>
      <c r="G127" s="69">
        <v>200</v>
      </c>
      <c r="H127" s="70">
        <v>10.59</v>
      </c>
      <c r="I127" s="70">
        <f t="shared" si="7"/>
        <v>5.2949999999999997E-2</v>
      </c>
      <c r="J127" s="69" t="s">
        <v>220</v>
      </c>
      <c r="K127" s="69" t="s">
        <v>7</v>
      </c>
      <c r="L127" s="69" t="s">
        <v>2</v>
      </c>
      <c r="M127" s="75" t="s">
        <v>8</v>
      </c>
      <c r="N127" s="75" t="s">
        <v>2</v>
      </c>
      <c r="O127" s="75" t="s">
        <v>2</v>
      </c>
      <c r="P127" s="75" t="s">
        <v>2</v>
      </c>
      <c r="Q127" s="75" t="s">
        <v>709</v>
      </c>
      <c r="R127" s="75" t="s">
        <v>2</v>
      </c>
      <c r="S127" s="75" t="s">
        <v>2</v>
      </c>
      <c r="T127" s="75" t="s">
        <v>2</v>
      </c>
      <c r="U127" s="75" t="s">
        <v>2</v>
      </c>
      <c r="V127" s="75" t="s">
        <v>2</v>
      </c>
      <c r="W127" s="75" t="s">
        <v>2</v>
      </c>
      <c r="X127" s="75" t="s">
        <v>2</v>
      </c>
      <c r="Y127" s="75" t="s">
        <v>716</v>
      </c>
      <c r="Z127" s="69" t="s">
        <v>8</v>
      </c>
      <c r="AA127" s="69" t="s">
        <v>714</v>
      </c>
      <c r="AB127" s="69" t="s">
        <v>714</v>
      </c>
      <c r="AC127" s="69" t="s">
        <v>951</v>
      </c>
      <c r="AD127" s="72">
        <f>Table13[[#This Row],[Carbon footprint per inhaler attributed to propellant PrescQIPP calculated as gCO2e (from PIL or as assigned in the methodology)11-13]]</f>
        <v>16422.12</v>
      </c>
      <c r="AE127" s="75" t="s">
        <v>530</v>
      </c>
      <c r="AF127" s="75" t="s">
        <v>46</v>
      </c>
      <c r="AG127" s="75" t="s">
        <v>46</v>
      </c>
      <c r="AH127" s="75" t="s">
        <v>46</v>
      </c>
      <c r="AI127" s="75" t="s">
        <v>46</v>
      </c>
      <c r="AJ127" s="72" t="str">
        <f>IF(Table13[[#This Row],[Indicative carbon footprint /inhaler (gCO2e) 7,8]]&gt;1796,"High","Low")</f>
        <v>High</v>
      </c>
      <c r="AK127" s="75" t="s">
        <v>46</v>
      </c>
      <c r="AL127" s="72" t="s">
        <v>46</v>
      </c>
      <c r="AM127" s="69"/>
      <c r="AN127" s="69" t="s">
        <v>177</v>
      </c>
      <c r="AO127" s="69">
        <v>11.484</v>
      </c>
      <c r="AP127" s="69">
        <v>1.6E-2</v>
      </c>
      <c r="AQ127" s="72">
        <f>1430*Table13[[#This Row],[Amount of propellant per inhaler (from PIL) (g)12-13]]</f>
        <v>16422.12</v>
      </c>
      <c r="AR127" s="74" t="s">
        <v>223</v>
      </c>
      <c r="AS127" s="69" t="s">
        <v>34</v>
      </c>
      <c r="AT127" s="69" t="s">
        <v>477</v>
      </c>
      <c r="AU127" s="69" t="s">
        <v>46</v>
      </c>
      <c r="AV127" s="69" t="s">
        <v>46</v>
      </c>
      <c r="AW127" s="69" t="s">
        <v>46</v>
      </c>
      <c r="AX127" s="69" t="s">
        <v>46</v>
      </c>
      <c r="AY127" s="69" t="s">
        <v>46</v>
      </c>
      <c r="AZ127" s="69" t="s">
        <v>46</v>
      </c>
      <c r="BA127" s="69" t="s">
        <v>46</v>
      </c>
      <c r="BB127" s="69" t="s">
        <v>46</v>
      </c>
      <c r="BC127" s="69" t="s">
        <v>46</v>
      </c>
      <c r="BD127" s="69" t="s">
        <v>46</v>
      </c>
      <c r="BE127" s="69" t="s">
        <v>46</v>
      </c>
      <c r="BF127" s="69" t="s">
        <v>46</v>
      </c>
      <c r="BG127" s="69" t="s">
        <v>46</v>
      </c>
      <c r="BH127" s="69" t="s">
        <v>46</v>
      </c>
      <c r="BI127" s="69" t="s">
        <v>46</v>
      </c>
      <c r="BJ127" s="69" t="s">
        <v>46</v>
      </c>
      <c r="BK127" s="69" t="s">
        <v>46</v>
      </c>
      <c r="BL127" s="69" t="s">
        <v>46</v>
      </c>
      <c r="BM127" s="75" t="s">
        <v>843</v>
      </c>
      <c r="BN127" s="75" t="s">
        <v>877</v>
      </c>
      <c r="BO127" s="72">
        <v>13684</v>
      </c>
      <c r="BP127" s="72">
        <v>16422.12</v>
      </c>
      <c r="BQ127" s="75" t="s">
        <v>11</v>
      </c>
      <c r="BR127" s="72">
        <f>Table13[[#This Row],[Inhaler carbon footprint per inhaler in v2.37 (gCO2e) ]]-Table13[[#This Row],[Inhaler carbon footprint per inhaler in v2.36 (gCO2e) ]]</f>
        <v>2738.119999999999</v>
      </c>
      <c r="BS127" s="72">
        <v>-3928</v>
      </c>
    </row>
    <row r="128" spans="1:71" ht="270" x14ac:dyDescent="0.25">
      <c r="A128" s="69" t="s">
        <v>224</v>
      </c>
      <c r="B128" s="69" t="s">
        <v>215</v>
      </c>
      <c r="C128" s="69" t="s">
        <v>311</v>
      </c>
      <c r="D128" s="69" t="s">
        <v>12</v>
      </c>
      <c r="E128" s="69" t="s">
        <v>25</v>
      </c>
      <c r="F128" s="69" t="s">
        <v>13</v>
      </c>
      <c r="G128" s="69">
        <v>200</v>
      </c>
      <c r="H128" s="70">
        <v>2.41</v>
      </c>
      <c r="I128" s="70">
        <f t="shared" si="7"/>
        <v>1.205E-2</v>
      </c>
      <c r="J128" s="69" t="s">
        <v>216</v>
      </c>
      <c r="K128" s="69" t="s">
        <v>217</v>
      </c>
      <c r="L128" s="69" t="s">
        <v>2</v>
      </c>
      <c r="M128" s="75" t="s">
        <v>8</v>
      </c>
      <c r="N128" s="75" t="s">
        <v>2</v>
      </c>
      <c r="O128" s="75" t="s">
        <v>703</v>
      </c>
      <c r="P128" s="75" t="s">
        <v>710</v>
      </c>
      <c r="Q128" s="75" t="s">
        <v>2</v>
      </c>
      <c r="R128" s="75" t="s">
        <v>2</v>
      </c>
      <c r="S128" s="75" t="s">
        <v>2</v>
      </c>
      <c r="T128" s="75" t="s">
        <v>2</v>
      </c>
      <c r="U128" s="75" t="s">
        <v>2</v>
      </c>
      <c r="V128" s="75" t="s">
        <v>2</v>
      </c>
      <c r="W128" s="75" t="s">
        <v>2</v>
      </c>
      <c r="X128" s="75" t="s">
        <v>2</v>
      </c>
      <c r="Y128" s="75" t="s">
        <v>716</v>
      </c>
      <c r="Z128" s="69" t="s">
        <v>8</v>
      </c>
      <c r="AA128" s="69" t="s">
        <v>714</v>
      </c>
      <c r="AB128" s="69" t="s">
        <v>714</v>
      </c>
      <c r="AC128" s="69" t="s">
        <v>951</v>
      </c>
      <c r="AD128" s="72">
        <f>Table13[[#This Row],[Carbon footprint per inhaler attributed to propellant PrescQIPP calculated as gCO2e (from PIL or as assigned in the methodology)11-13]]</f>
        <v>16885.439999999999</v>
      </c>
      <c r="AE128" s="75" t="s">
        <v>530</v>
      </c>
      <c r="AF128" s="75" t="s">
        <v>46</v>
      </c>
      <c r="AG128" s="75" t="s">
        <v>46</v>
      </c>
      <c r="AH128" s="75" t="s">
        <v>46</v>
      </c>
      <c r="AI128" s="75" t="s">
        <v>46</v>
      </c>
      <c r="AJ128" s="72" t="str">
        <f>IF(Table13[[#This Row],[Indicative carbon footprint /inhaler (gCO2e) 7,8]]&gt;1796,"High","Low")</f>
        <v>High</v>
      </c>
      <c r="AK128" s="75" t="s">
        <v>46</v>
      </c>
      <c r="AL128" s="72" t="s">
        <v>46</v>
      </c>
      <c r="AM128" s="69"/>
      <c r="AN128" s="69" t="s">
        <v>177</v>
      </c>
      <c r="AO128" s="69">
        <v>11.808</v>
      </c>
      <c r="AP128" s="69">
        <v>1.7000000000000001E-2</v>
      </c>
      <c r="AQ128" s="72">
        <f>1430*Table13[[#This Row],[Amount of propellant per inhaler (from PIL) (g)12-13]]</f>
        <v>16885.439999999999</v>
      </c>
      <c r="AR128" s="74" t="s">
        <v>225</v>
      </c>
      <c r="AS128" s="69" t="s">
        <v>34</v>
      </c>
      <c r="AT128" s="69" t="s">
        <v>477</v>
      </c>
      <c r="AU128" s="69" t="s">
        <v>46</v>
      </c>
      <c r="AV128" s="69" t="s">
        <v>46</v>
      </c>
      <c r="AW128" s="69" t="s">
        <v>46</v>
      </c>
      <c r="AX128" s="69" t="s">
        <v>46</v>
      </c>
      <c r="AY128" s="69" t="s">
        <v>46</v>
      </c>
      <c r="AZ128" s="69" t="s">
        <v>46</v>
      </c>
      <c r="BA128" s="69" t="s">
        <v>46</v>
      </c>
      <c r="BB128" s="69" t="s">
        <v>46</v>
      </c>
      <c r="BC128" s="69" t="s">
        <v>46</v>
      </c>
      <c r="BD128" s="69" t="s">
        <v>46</v>
      </c>
      <c r="BE128" s="69" t="s">
        <v>46</v>
      </c>
      <c r="BF128" s="69" t="s">
        <v>46</v>
      </c>
      <c r="BG128" s="69" t="s">
        <v>46</v>
      </c>
      <c r="BH128" s="69" t="s">
        <v>46</v>
      </c>
      <c r="BI128" s="69" t="s">
        <v>46</v>
      </c>
      <c r="BJ128" s="69" t="s">
        <v>46</v>
      </c>
      <c r="BK128" s="69" t="s">
        <v>46</v>
      </c>
      <c r="BL128" s="69" t="s">
        <v>46</v>
      </c>
      <c r="BM128" s="75" t="s">
        <v>843</v>
      </c>
      <c r="BN128" s="75" t="s">
        <v>877</v>
      </c>
      <c r="BO128" s="72">
        <v>14069.999999999998</v>
      </c>
      <c r="BP128" s="72">
        <v>16885.439999999999</v>
      </c>
      <c r="BQ128" s="75" t="s">
        <v>11</v>
      </c>
      <c r="BR128" s="72">
        <f>Table13[[#This Row],[Inhaler carbon footprint per inhaler in v2.37 (gCO2e) ]]-Table13[[#This Row],[Inhaler carbon footprint per inhaler in v2.36 (gCO2e) ]]</f>
        <v>2815.4400000000005</v>
      </c>
      <c r="BS128" s="72">
        <v>-3465</v>
      </c>
    </row>
    <row r="129" spans="1:71" ht="90" x14ac:dyDescent="0.25">
      <c r="A129" s="69" t="s">
        <v>491</v>
      </c>
      <c r="B129" s="69" t="s">
        <v>47</v>
      </c>
      <c r="C129" s="69" t="s">
        <v>383</v>
      </c>
      <c r="D129" s="69" t="s">
        <v>32</v>
      </c>
      <c r="E129" s="69" t="s">
        <v>33</v>
      </c>
      <c r="F129" s="69" t="s">
        <v>226</v>
      </c>
      <c r="G129" s="69">
        <v>60</v>
      </c>
      <c r="H129" s="70">
        <v>32.5</v>
      </c>
      <c r="I129" s="70">
        <f t="shared" si="7"/>
        <v>0.54166666666666663</v>
      </c>
      <c r="J129" s="69" t="s">
        <v>7</v>
      </c>
      <c r="K129" s="69" t="s">
        <v>7</v>
      </c>
      <c r="L129" s="69" t="s">
        <v>2</v>
      </c>
      <c r="M129" s="75" t="s">
        <v>8</v>
      </c>
      <c r="N129" s="75" t="s">
        <v>2</v>
      </c>
      <c r="O129" s="75" t="s">
        <v>2</v>
      </c>
      <c r="P129" s="75" t="s">
        <v>2</v>
      </c>
      <c r="Q129" s="75" t="s">
        <v>2</v>
      </c>
      <c r="R129" s="75" t="s">
        <v>2</v>
      </c>
      <c r="S129" s="75" t="s">
        <v>2</v>
      </c>
      <c r="T129" s="75" t="s">
        <v>2</v>
      </c>
      <c r="U129" s="75" t="s">
        <v>2</v>
      </c>
      <c r="V129" s="75" t="s">
        <v>2</v>
      </c>
      <c r="W129" s="75" t="s">
        <v>2</v>
      </c>
      <c r="X129" s="75" t="s">
        <v>2</v>
      </c>
      <c r="Y129" s="75" t="s">
        <v>2</v>
      </c>
      <c r="Z129" s="69" t="s">
        <v>79</v>
      </c>
      <c r="AA129" s="69" t="s">
        <v>715</v>
      </c>
      <c r="AB129" s="69" t="s">
        <v>885</v>
      </c>
      <c r="AC129" s="69" t="s">
        <v>887</v>
      </c>
      <c r="AD129" s="72">
        <v>775</v>
      </c>
      <c r="AE129" s="75" t="s">
        <v>9</v>
      </c>
      <c r="AF129" s="75" t="s">
        <v>34</v>
      </c>
      <c r="AG129" s="75" t="s">
        <v>809</v>
      </c>
      <c r="AH129" s="75" t="s">
        <v>34</v>
      </c>
      <c r="AI129" s="75" t="s">
        <v>809</v>
      </c>
      <c r="AJ129" s="72" t="str">
        <f>IF(Table13[[#This Row],[Indicative carbon footprint /inhaler (gCO2e) 7,8]]&gt;1796,"High","Low")</f>
        <v>Low</v>
      </c>
      <c r="AK129" s="72" t="s">
        <v>34</v>
      </c>
      <c r="AL129" s="72" t="s">
        <v>46</v>
      </c>
      <c r="AM129" s="69"/>
      <c r="AN129" s="69" t="s">
        <v>2</v>
      </c>
      <c r="AO129" s="69" t="s">
        <v>2</v>
      </c>
      <c r="AP129" s="69" t="s">
        <v>2</v>
      </c>
      <c r="AQ129" s="69" t="s">
        <v>2</v>
      </c>
      <c r="AR129" s="74" t="s">
        <v>227</v>
      </c>
      <c r="AS129" s="101" t="s">
        <v>34</v>
      </c>
      <c r="AT129" s="69" t="s">
        <v>46</v>
      </c>
      <c r="AU129" s="82">
        <v>710</v>
      </c>
      <c r="AV129" s="82">
        <v>456</v>
      </c>
      <c r="AW129" s="69" t="s">
        <v>46</v>
      </c>
      <c r="AX129" s="82">
        <v>5</v>
      </c>
      <c r="AY129" s="69" t="s">
        <v>46</v>
      </c>
      <c r="AZ129" s="69">
        <v>245</v>
      </c>
      <c r="BA129" s="82" t="s">
        <v>228</v>
      </c>
      <c r="BB129" s="82" t="s">
        <v>481</v>
      </c>
      <c r="BC129" s="82">
        <v>0</v>
      </c>
      <c r="BD129" s="82">
        <v>69</v>
      </c>
      <c r="BE129" s="69" t="s">
        <v>46</v>
      </c>
      <c r="BF129" s="69" t="s">
        <v>2</v>
      </c>
      <c r="BG129" s="69" t="s">
        <v>2</v>
      </c>
      <c r="BH129" s="69" t="s">
        <v>2</v>
      </c>
      <c r="BI129" s="69" t="s">
        <v>2</v>
      </c>
      <c r="BJ129" s="69" t="s">
        <v>2</v>
      </c>
      <c r="BK129" s="69" t="s">
        <v>2</v>
      </c>
      <c r="BL129" s="69" t="s">
        <v>448</v>
      </c>
      <c r="BM129" s="75" t="s">
        <v>11</v>
      </c>
      <c r="BN129" s="75" t="s">
        <v>2</v>
      </c>
      <c r="BO129" s="72">
        <v>775</v>
      </c>
      <c r="BP129" s="72">
        <v>775</v>
      </c>
      <c r="BQ129" s="75" t="s">
        <v>34</v>
      </c>
      <c r="BR129" s="72">
        <f>Table13[[#This Row],[Inhaler carbon footprint per inhaler in v2.37 (gCO2e) ]]-Table13[[#This Row],[Inhaler carbon footprint per inhaler in v2.36 (gCO2e) ]]</f>
        <v>0</v>
      </c>
      <c r="BS129" s="72" t="s">
        <v>809</v>
      </c>
    </row>
    <row r="130" spans="1:71" ht="90" x14ac:dyDescent="0.25">
      <c r="A130" s="69" t="s">
        <v>494</v>
      </c>
      <c r="B130" s="69" t="s">
        <v>47</v>
      </c>
      <c r="C130" s="69" t="s">
        <v>383</v>
      </c>
      <c r="D130" s="69" t="s">
        <v>32</v>
      </c>
      <c r="E130" s="69" t="s">
        <v>33</v>
      </c>
      <c r="F130" s="69" t="s">
        <v>226</v>
      </c>
      <c r="G130" s="69">
        <v>60</v>
      </c>
      <c r="H130" s="70">
        <v>32.5</v>
      </c>
      <c r="I130" s="70">
        <f t="shared" si="7"/>
        <v>0.54166666666666663</v>
      </c>
      <c r="J130" s="69" t="s">
        <v>7</v>
      </c>
      <c r="K130" s="69" t="s">
        <v>7</v>
      </c>
      <c r="L130" s="69" t="s">
        <v>2</v>
      </c>
      <c r="M130" s="75" t="s">
        <v>8</v>
      </c>
      <c r="N130" s="75" t="s">
        <v>2</v>
      </c>
      <c r="O130" s="75" t="s">
        <v>2</v>
      </c>
      <c r="P130" s="75" t="s">
        <v>2</v>
      </c>
      <c r="Q130" s="75" t="s">
        <v>2</v>
      </c>
      <c r="R130" s="75" t="s">
        <v>2</v>
      </c>
      <c r="S130" s="75" t="s">
        <v>2</v>
      </c>
      <c r="T130" s="75" t="s">
        <v>2</v>
      </c>
      <c r="U130" s="75" t="s">
        <v>2</v>
      </c>
      <c r="V130" s="75" t="s">
        <v>2</v>
      </c>
      <c r="W130" s="75" t="s">
        <v>2</v>
      </c>
      <c r="X130" s="75" t="s">
        <v>2</v>
      </c>
      <c r="Y130" s="75" t="s">
        <v>2</v>
      </c>
      <c r="Z130" s="69" t="s">
        <v>79</v>
      </c>
      <c r="AA130" s="69" t="s">
        <v>715</v>
      </c>
      <c r="AB130" s="69" t="s">
        <v>886</v>
      </c>
      <c r="AC130" s="69" t="s">
        <v>887</v>
      </c>
      <c r="AD130" s="72">
        <v>230</v>
      </c>
      <c r="AE130" s="75" t="s">
        <v>9</v>
      </c>
      <c r="AF130" s="75" t="s">
        <v>34</v>
      </c>
      <c r="AG130" s="75" t="s">
        <v>809</v>
      </c>
      <c r="AH130" s="75" t="s">
        <v>34</v>
      </c>
      <c r="AI130" s="75" t="s">
        <v>809</v>
      </c>
      <c r="AJ130" s="72" t="str">
        <f>IF(Table13[[#This Row],[Indicative carbon footprint /inhaler (gCO2e) 7,8]]&gt;1796,"High","Low")</f>
        <v>Low</v>
      </c>
      <c r="AK130" s="72" t="s">
        <v>34</v>
      </c>
      <c r="AL130" s="72" t="s">
        <v>46</v>
      </c>
      <c r="AM130" s="70" t="s">
        <v>492</v>
      </c>
      <c r="AN130" s="69" t="s">
        <v>2</v>
      </c>
      <c r="AO130" s="69" t="s">
        <v>2</v>
      </c>
      <c r="AP130" s="69" t="s">
        <v>2</v>
      </c>
      <c r="AQ130" s="69" t="s">
        <v>2</v>
      </c>
      <c r="AR130" s="74" t="s">
        <v>493</v>
      </c>
      <c r="AS130" s="101" t="s">
        <v>34</v>
      </c>
      <c r="AT130" s="69" t="s">
        <v>46</v>
      </c>
      <c r="AU130" s="69" t="s">
        <v>46</v>
      </c>
      <c r="AV130" s="69" t="s">
        <v>46</v>
      </c>
      <c r="AW130" s="69" t="s">
        <v>46</v>
      </c>
      <c r="AX130" s="69" t="s">
        <v>46</v>
      </c>
      <c r="AY130" s="69" t="s">
        <v>46</v>
      </c>
      <c r="AZ130" s="69" t="s">
        <v>46</v>
      </c>
      <c r="BA130" s="69" t="s">
        <v>46</v>
      </c>
      <c r="BB130" s="69" t="s">
        <v>46</v>
      </c>
      <c r="BC130" s="69" t="s">
        <v>46</v>
      </c>
      <c r="BD130" s="69" t="s">
        <v>46</v>
      </c>
      <c r="BE130" s="69" t="s">
        <v>46</v>
      </c>
      <c r="BF130" s="69" t="s">
        <v>2</v>
      </c>
      <c r="BG130" s="69" t="s">
        <v>2</v>
      </c>
      <c r="BH130" s="69" t="s">
        <v>2</v>
      </c>
      <c r="BI130" s="69" t="s">
        <v>2</v>
      </c>
      <c r="BJ130" s="69" t="s">
        <v>2</v>
      </c>
      <c r="BK130" s="69" t="s">
        <v>2</v>
      </c>
      <c r="BL130" s="69" t="s">
        <v>448</v>
      </c>
      <c r="BM130" s="75" t="s">
        <v>11</v>
      </c>
      <c r="BN130" s="75" t="s">
        <v>2</v>
      </c>
      <c r="BO130" s="72">
        <v>230</v>
      </c>
      <c r="BP130" s="72">
        <v>230</v>
      </c>
      <c r="BQ130" s="75" t="s">
        <v>34</v>
      </c>
      <c r="BR130" s="72">
        <f>Table13[[#This Row],[Inhaler carbon footprint per inhaler in v2.37 (gCO2e) ]]-Table13[[#This Row],[Inhaler carbon footprint per inhaler in v2.36 (gCO2e) ]]</f>
        <v>0</v>
      </c>
      <c r="BS130" s="72" t="s">
        <v>809</v>
      </c>
    </row>
    <row r="131" spans="1:71" ht="180" x14ac:dyDescent="0.25">
      <c r="A131" s="69" t="s">
        <v>384</v>
      </c>
      <c r="B131" s="69" t="s">
        <v>47</v>
      </c>
      <c r="C131" s="69" t="s">
        <v>229</v>
      </c>
      <c r="D131" s="69" t="s">
        <v>32</v>
      </c>
      <c r="E131" s="69" t="s">
        <v>92</v>
      </c>
      <c r="F131" s="69" t="s">
        <v>3</v>
      </c>
      <c r="G131" s="69">
        <v>30</v>
      </c>
      <c r="H131" s="70">
        <v>33.5</v>
      </c>
      <c r="I131" s="70">
        <f t="shared" si="7"/>
        <v>1.1166666666666667</v>
      </c>
      <c r="J131" s="69" t="s">
        <v>7</v>
      </c>
      <c r="K131" s="69" t="s">
        <v>7</v>
      </c>
      <c r="L131" s="69" t="s">
        <v>2</v>
      </c>
      <c r="M131" s="75" t="s">
        <v>8</v>
      </c>
      <c r="N131" s="75" t="s">
        <v>2</v>
      </c>
      <c r="O131" s="75" t="s">
        <v>2</v>
      </c>
      <c r="P131" s="75" t="s">
        <v>2</v>
      </c>
      <c r="Q131" s="75" t="s">
        <v>2</v>
      </c>
      <c r="R131" s="75" t="s">
        <v>2</v>
      </c>
      <c r="S131" s="75" t="s">
        <v>2</v>
      </c>
      <c r="T131" s="75" t="s">
        <v>2</v>
      </c>
      <c r="U131" s="75" t="s">
        <v>2</v>
      </c>
      <c r="V131" s="75" t="s">
        <v>2</v>
      </c>
      <c r="W131" s="75" t="s">
        <v>2</v>
      </c>
      <c r="X131" s="75" t="s">
        <v>2</v>
      </c>
      <c r="Y131" s="75" t="s">
        <v>2</v>
      </c>
      <c r="Z131" s="69" t="s">
        <v>2</v>
      </c>
      <c r="AA131" s="69" t="s">
        <v>714</v>
      </c>
      <c r="AB131" s="69" t="s">
        <v>889</v>
      </c>
      <c r="AC131" s="106" t="s">
        <v>891</v>
      </c>
      <c r="AD131" s="72">
        <v>92</v>
      </c>
      <c r="AE131" s="75" t="s">
        <v>9</v>
      </c>
      <c r="AF131" s="75" t="s">
        <v>34</v>
      </c>
      <c r="AG131" s="75" t="s">
        <v>809</v>
      </c>
      <c r="AH131" s="75" t="s">
        <v>34</v>
      </c>
      <c r="AI131" s="75" t="s">
        <v>809</v>
      </c>
      <c r="AJ131" s="72" t="str">
        <f>IF(Table13[[#This Row],[Indicative carbon footprint /inhaler (gCO2e) 7,8]]&gt;1796,"High","Low")</f>
        <v>Low</v>
      </c>
      <c r="AK131" s="72" t="s">
        <v>34</v>
      </c>
      <c r="AL131" s="72" t="s">
        <v>46</v>
      </c>
      <c r="AM131" s="70" t="s">
        <v>9</v>
      </c>
      <c r="AN131" s="69" t="s">
        <v>2</v>
      </c>
      <c r="AO131" s="69" t="s">
        <v>2</v>
      </c>
      <c r="AP131" s="69" t="s">
        <v>2</v>
      </c>
      <c r="AQ131" s="69" t="s">
        <v>2</v>
      </c>
      <c r="AR131" s="74" t="s">
        <v>230</v>
      </c>
      <c r="AS131" s="69" t="s">
        <v>34</v>
      </c>
      <c r="AT131" s="69" t="s">
        <v>51</v>
      </c>
      <c r="AU131" s="69" t="s">
        <v>46</v>
      </c>
      <c r="AV131" s="69" t="s">
        <v>46</v>
      </c>
      <c r="AW131" s="69" t="s">
        <v>46</v>
      </c>
      <c r="AX131" s="69" t="s">
        <v>46</v>
      </c>
      <c r="AY131" s="69" t="s">
        <v>46</v>
      </c>
      <c r="AZ131" s="69" t="s">
        <v>46</v>
      </c>
      <c r="BA131" s="69" t="s">
        <v>46</v>
      </c>
      <c r="BB131" s="69" t="s">
        <v>46</v>
      </c>
      <c r="BC131" s="69" t="s">
        <v>46</v>
      </c>
      <c r="BD131" s="69" t="s">
        <v>46</v>
      </c>
      <c r="BE131" s="69" t="s">
        <v>46</v>
      </c>
      <c r="BF131" s="69" t="s">
        <v>2</v>
      </c>
      <c r="BG131" s="69" t="s">
        <v>2</v>
      </c>
      <c r="BH131" s="69" t="s">
        <v>2</v>
      </c>
      <c r="BI131" s="69" t="s">
        <v>2</v>
      </c>
      <c r="BJ131" s="69" t="s">
        <v>2</v>
      </c>
      <c r="BK131" s="69" t="s">
        <v>2</v>
      </c>
      <c r="BL131" s="69" t="s">
        <v>232</v>
      </c>
      <c r="BM131" s="75" t="s">
        <v>11</v>
      </c>
      <c r="BN131" s="75" t="s">
        <v>2</v>
      </c>
      <c r="BO131" s="72">
        <v>92</v>
      </c>
      <c r="BP131" s="72">
        <v>92</v>
      </c>
      <c r="BQ131" s="75" t="s">
        <v>34</v>
      </c>
      <c r="BR131" s="72">
        <f>Table13[[#This Row],[Inhaler carbon footprint per inhaler in v2.37 (gCO2e) ]]-Table13[[#This Row],[Inhaler carbon footprint per inhaler in v2.36 (gCO2e) ]]</f>
        <v>0</v>
      </c>
      <c r="BS131" s="72" t="s">
        <v>809</v>
      </c>
    </row>
    <row r="132" spans="1:71" ht="180" x14ac:dyDescent="0.25">
      <c r="A132" s="69" t="s">
        <v>482</v>
      </c>
      <c r="B132" s="69" t="s">
        <v>47</v>
      </c>
      <c r="C132" s="69" t="s">
        <v>229</v>
      </c>
      <c r="D132" s="69" t="s">
        <v>32</v>
      </c>
      <c r="E132" s="69" t="s">
        <v>92</v>
      </c>
      <c r="F132" s="69" t="s">
        <v>3</v>
      </c>
      <c r="G132" s="69">
        <v>30</v>
      </c>
      <c r="H132" s="70">
        <v>34.869999999999997</v>
      </c>
      <c r="I132" s="70">
        <f t="shared" si="7"/>
        <v>1.1623333333333332</v>
      </c>
      <c r="J132" s="69" t="s">
        <v>7</v>
      </c>
      <c r="K132" s="69" t="s">
        <v>7</v>
      </c>
      <c r="L132" s="69" t="s">
        <v>2</v>
      </c>
      <c r="M132" s="75" t="s">
        <v>8</v>
      </c>
      <c r="N132" s="75" t="s">
        <v>2</v>
      </c>
      <c r="O132" s="75" t="s">
        <v>2</v>
      </c>
      <c r="P132" s="75" t="s">
        <v>2</v>
      </c>
      <c r="Q132" s="75" t="s">
        <v>2</v>
      </c>
      <c r="R132" s="75" t="s">
        <v>2</v>
      </c>
      <c r="S132" s="75" t="s">
        <v>2</v>
      </c>
      <c r="T132" s="75" t="s">
        <v>2</v>
      </c>
      <c r="U132" s="75" t="s">
        <v>2</v>
      </c>
      <c r="V132" s="75" t="s">
        <v>2</v>
      </c>
      <c r="W132" s="75" t="s">
        <v>2</v>
      </c>
      <c r="X132" s="75" t="s">
        <v>2</v>
      </c>
      <c r="Y132" s="75" t="s">
        <v>2</v>
      </c>
      <c r="Z132" s="69" t="s">
        <v>2</v>
      </c>
      <c r="AA132" s="69" t="s">
        <v>714</v>
      </c>
      <c r="AB132" s="69" t="s">
        <v>890</v>
      </c>
      <c r="AC132" s="97" t="s">
        <v>891</v>
      </c>
      <c r="AD132" s="72">
        <v>282</v>
      </c>
      <c r="AE132" s="75" t="s">
        <v>9</v>
      </c>
      <c r="AF132" s="75" t="s">
        <v>34</v>
      </c>
      <c r="AG132" s="75" t="s">
        <v>809</v>
      </c>
      <c r="AH132" s="75" t="s">
        <v>34</v>
      </c>
      <c r="AI132" s="75" t="s">
        <v>809</v>
      </c>
      <c r="AJ132" s="72" t="str">
        <f>IF(Table13[[#This Row],[Indicative carbon footprint /inhaler (gCO2e) 7,8]]&gt;1796,"High","Low")</f>
        <v>Low</v>
      </c>
      <c r="AK132" s="72" t="s">
        <v>34</v>
      </c>
      <c r="AL132" s="72" t="s">
        <v>46</v>
      </c>
      <c r="AM132" s="70"/>
      <c r="AN132" s="69" t="s">
        <v>2</v>
      </c>
      <c r="AO132" s="69" t="s">
        <v>2</v>
      </c>
      <c r="AP132" s="69" t="s">
        <v>2</v>
      </c>
      <c r="AQ132" s="69" t="s">
        <v>2</v>
      </c>
      <c r="AR132" s="74" t="s">
        <v>549</v>
      </c>
      <c r="AS132" s="69" t="s">
        <v>34</v>
      </c>
      <c r="AT132" s="69" t="s">
        <v>51</v>
      </c>
      <c r="AU132" s="69">
        <f>0.209*1000</f>
        <v>209</v>
      </c>
      <c r="AV132" s="69" t="s">
        <v>46</v>
      </c>
      <c r="AW132" s="69" t="s">
        <v>46</v>
      </c>
      <c r="AX132" s="69" t="s">
        <v>46</v>
      </c>
      <c r="AY132" s="69" t="s">
        <v>46</v>
      </c>
      <c r="AZ132" s="69" t="s">
        <v>46</v>
      </c>
      <c r="BA132" s="69" t="s">
        <v>46</v>
      </c>
      <c r="BB132" s="69">
        <f>0.012*1000</f>
        <v>12</v>
      </c>
      <c r="BC132" s="69">
        <f>0.001*1000</f>
        <v>1</v>
      </c>
      <c r="BD132" s="69">
        <f>0.039*1000</f>
        <v>39</v>
      </c>
      <c r="BE132" s="69" t="s">
        <v>231</v>
      </c>
      <c r="BF132" s="69" t="s">
        <v>2</v>
      </c>
      <c r="BG132" s="69" t="s">
        <v>2</v>
      </c>
      <c r="BH132" s="69" t="s">
        <v>2</v>
      </c>
      <c r="BI132" s="69" t="s">
        <v>2</v>
      </c>
      <c r="BJ132" s="69" t="s">
        <v>2</v>
      </c>
      <c r="BK132" s="69" t="s">
        <v>2</v>
      </c>
      <c r="BL132" s="69" t="s">
        <v>232</v>
      </c>
      <c r="BM132" s="75" t="s">
        <v>11</v>
      </c>
      <c r="BN132" s="75" t="s">
        <v>2</v>
      </c>
      <c r="BO132" s="72">
        <v>282</v>
      </c>
      <c r="BP132" s="72">
        <v>282</v>
      </c>
      <c r="BQ132" s="75" t="s">
        <v>34</v>
      </c>
      <c r="BR132" s="72">
        <f>Table13[[#This Row],[Inhaler carbon footprint per inhaler in v2.37 (gCO2e) ]]-Table13[[#This Row],[Inhaler carbon footprint per inhaler in v2.36 (gCO2e) ]]</f>
        <v>0</v>
      </c>
      <c r="BS132" s="72" t="s">
        <v>809</v>
      </c>
    </row>
    <row r="133" spans="1:71" ht="180" x14ac:dyDescent="0.25">
      <c r="A133" s="69" t="s">
        <v>496</v>
      </c>
      <c r="B133" s="69" t="s">
        <v>47</v>
      </c>
      <c r="C133" s="69" t="s">
        <v>385</v>
      </c>
      <c r="D133" s="69" t="s">
        <v>5</v>
      </c>
      <c r="E133" s="69" t="s">
        <v>92</v>
      </c>
      <c r="F133" s="69" t="s">
        <v>226</v>
      </c>
      <c r="G133" s="69">
        <v>60</v>
      </c>
      <c r="H133" s="70">
        <v>23</v>
      </c>
      <c r="I133" s="70">
        <f t="shared" si="7"/>
        <v>0.38333333333333336</v>
      </c>
      <c r="J133" s="69" t="s">
        <v>57</v>
      </c>
      <c r="K133" s="69" t="s">
        <v>57</v>
      </c>
      <c r="L133" s="69" t="s">
        <v>2</v>
      </c>
      <c r="M133" s="75" t="s">
        <v>8</v>
      </c>
      <c r="N133" s="75" t="s">
        <v>2</v>
      </c>
      <c r="O133" s="75" t="s">
        <v>2</v>
      </c>
      <c r="P133" s="75" t="s">
        <v>2</v>
      </c>
      <c r="Q133" s="75" t="s">
        <v>2</v>
      </c>
      <c r="R133" s="75" t="s">
        <v>2</v>
      </c>
      <c r="S133" s="75" t="s">
        <v>2</v>
      </c>
      <c r="T133" s="75" t="s">
        <v>2</v>
      </c>
      <c r="U133" s="75" t="s">
        <v>2</v>
      </c>
      <c r="V133" s="75" t="s">
        <v>2</v>
      </c>
      <c r="W133" s="75" t="s">
        <v>2</v>
      </c>
      <c r="X133" s="75" t="s">
        <v>2</v>
      </c>
      <c r="Y133" s="75" t="s">
        <v>2</v>
      </c>
      <c r="Z133" s="69" t="s">
        <v>79</v>
      </c>
      <c r="AA133" s="69" t="s">
        <v>715</v>
      </c>
      <c r="AB133" s="69" t="s">
        <v>885</v>
      </c>
      <c r="AC133" s="69" t="s">
        <v>887</v>
      </c>
      <c r="AD133" s="72">
        <v>775</v>
      </c>
      <c r="AE133" s="75" t="s">
        <v>9</v>
      </c>
      <c r="AF133" s="75" t="s">
        <v>34</v>
      </c>
      <c r="AG133" s="75" t="s">
        <v>809</v>
      </c>
      <c r="AH133" s="75" t="s">
        <v>34</v>
      </c>
      <c r="AI133" s="75" t="s">
        <v>809</v>
      </c>
      <c r="AJ133" s="72" t="str">
        <f>IF(Table13[[#This Row],[Indicative carbon footprint /inhaler (gCO2e) 7,8]]&gt;1796,"High","Low")</f>
        <v>Low</v>
      </c>
      <c r="AK133" s="72" t="s">
        <v>34</v>
      </c>
      <c r="AL133" s="72" t="s">
        <v>46</v>
      </c>
      <c r="AM133" s="69" t="s">
        <v>233</v>
      </c>
      <c r="AN133" s="69" t="s">
        <v>2</v>
      </c>
      <c r="AO133" s="69" t="s">
        <v>2</v>
      </c>
      <c r="AP133" s="69" t="s">
        <v>2</v>
      </c>
      <c r="AQ133" s="69" t="s">
        <v>2</v>
      </c>
      <c r="AR133" s="74" t="s">
        <v>486</v>
      </c>
      <c r="AS133" s="101" t="s">
        <v>34</v>
      </c>
      <c r="AT133" s="69" t="s">
        <v>46</v>
      </c>
      <c r="AU133" s="82">
        <v>710</v>
      </c>
      <c r="AV133" s="82">
        <v>456</v>
      </c>
      <c r="AW133" s="69" t="s">
        <v>46</v>
      </c>
      <c r="AX133" s="82">
        <v>5</v>
      </c>
      <c r="AY133" s="69" t="s">
        <v>46</v>
      </c>
      <c r="AZ133" s="69">
        <v>245</v>
      </c>
      <c r="BA133" s="82" t="s">
        <v>228</v>
      </c>
      <c r="BB133" s="82" t="s">
        <v>481</v>
      </c>
      <c r="BC133" s="82">
        <v>0</v>
      </c>
      <c r="BD133" s="82">
        <v>69</v>
      </c>
      <c r="BE133" s="69" t="s">
        <v>46</v>
      </c>
      <c r="BF133" s="69" t="s">
        <v>2</v>
      </c>
      <c r="BG133" s="69" t="s">
        <v>2</v>
      </c>
      <c r="BH133" s="69" t="s">
        <v>2</v>
      </c>
      <c r="BI133" s="69" t="s">
        <v>2</v>
      </c>
      <c r="BJ133" s="69" t="s">
        <v>2</v>
      </c>
      <c r="BK133" s="69" t="s">
        <v>2</v>
      </c>
      <c r="BL133" s="69" t="s">
        <v>448</v>
      </c>
      <c r="BM133" s="75" t="s">
        <v>11</v>
      </c>
      <c r="BN133" s="75" t="s">
        <v>2</v>
      </c>
      <c r="BO133" s="72">
        <v>775</v>
      </c>
      <c r="BP133" s="72">
        <v>775</v>
      </c>
      <c r="BQ133" s="75" t="s">
        <v>34</v>
      </c>
      <c r="BR133" s="72">
        <f>Table13[[#This Row],[Inhaler carbon footprint per inhaler in v2.37 (gCO2e) ]]-Table13[[#This Row],[Inhaler carbon footprint per inhaler in v2.36 (gCO2e) ]]</f>
        <v>0</v>
      </c>
      <c r="BS133" s="72" t="s">
        <v>809</v>
      </c>
    </row>
    <row r="134" spans="1:71" ht="270" x14ac:dyDescent="0.25">
      <c r="A134" s="69" t="s">
        <v>495</v>
      </c>
      <c r="B134" s="69" t="s">
        <v>47</v>
      </c>
      <c r="C134" s="69" t="s">
        <v>385</v>
      </c>
      <c r="D134" s="69" t="s">
        <v>5</v>
      </c>
      <c r="E134" s="69" t="s">
        <v>92</v>
      </c>
      <c r="F134" s="69" t="s">
        <v>226</v>
      </c>
      <c r="G134" s="69">
        <v>60</v>
      </c>
      <c r="H134" s="70">
        <v>23</v>
      </c>
      <c r="I134" s="70">
        <f t="shared" si="7"/>
        <v>0.38333333333333336</v>
      </c>
      <c r="J134" s="69" t="s">
        <v>57</v>
      </c>
      <c r="K134" s="69" t="s">
        <v>57</v>
      </c>
      <c r="L134" s="69" t="s">
        <v>2</v>
      </c>
      <c r="M134" s="75" t="s">
        <v>8</v>
      </c>
      <c r="N134" s="75" t="s">
        <v>2</v>
      </c>
      <c r="O134" s="75" t="s">
        <v>2</v>
      </c>
      <c r="P134" s="75" t="s">
        <v>2</v>
      </c>
      <c r="Q134" s="75" t="s">
        <v>2</v>
      </c>
      <c r="R134" s="75" t="s">
        <v>2</v>
      </c>
      <c r="S134" s="75" t="s">
        <v>2</v>
      </c>
      <c r="T134" s="75" t="s">
        <v>2</v>
      </c>
      <c r="U134" s="75" t="s">
        <v>2</v>
      </c>
      <c r="V134" s="75" t="s">
        <v>2</v>
      </c>
      <c r="W134" s="75" t="s">
        <v>2</v>
      </c>
      <c r="X134" s="75" t="s">
        <v>2</v>
      </c>
      <c r="Y134" s="75" t="s">
        <v>2</v>
      </c>
      <c r="Z134" s="69" t="s">
        <v>79</v>
      </c>
      <c r="AA134" s="69" t="s">
        <v>715</v>
      </c>
      <c r="AB134" s="69" t="s">
        <v>886</v>
      </c>
      <c r="AC134" s="69" t="s">
        <v>887</v>
      </c>
      <c r="AD134" s="72">
        <v>230</v>
      </c>
      <c r="AE134" s="75" t="s">
        <v>9</v>
      </c>
      <c r="AF134" s="75" t="s">
        <v>34</v>
      </c>
      <c r="AG134" s="75" t="s">
        <v>809</v>
      </c>
      <c r="AH134" s="75" t="s">
        <v>34</v>
      </c>
      <c r="AI134" s="75" t="s">
        <v>809</v>
      </c>
      <c r="AJ134" s="72" t="str">
        <f>IF(Table13[[#This Row],[Indicative carbon footprint /inhaler (gCO2e) 7,8]]&gt;1796,"High","Low")</f>
        <v>Low</v>
      </c>
      <c r="AK134" s="72" t="s">
        <v>34</v>
      </c>
      <c r="AL134" s="72" t="s">
        <v>46</v>
      </c>
      <c r="AM134" s="69" t="s">
        <v>484</v>
      </c>
      <c r="AN134" s="69" t="s">
        <v>2</v>
      </c>
      <c r="AO134" s="69" t="s">
        <v>2</v>
      </c>
      <c r="AP134" s="69" t="s">
        <v>2</v>
      </c>
      <c r="AQ134" s="69" t="s">
        <v>2</v>
      </c>
      <c r="AR134" s="74" t="s">
        <v>487</v>
      </c>
      <c r="AS134" s="101" t="s">
        <v>34</v>
      </c>
      <c r="AT134" s="69" t="s">
        <v>46</v>
      </c>
      <c r="AU134" s="69" t="s">
        <v>46</v>
      </c>
      <c r="AV134" s="69" t="s">
        <v>46</v>
      </c>
      <c r="AW134" s="69" t="s">
        <v>46</v>
      </c>
      <c r="AX134" s="69" t="s">
        <v>46</v>
      </c>
      <c r="AY134" s="69" t="s">
        <v>46</v>
      </c>
      <c r="AZ134" s="69" t="s">
        <v>46</v>
      </c>
      <c r="BA134" s="69" t="s">
        <v>46</v>
      </c>
      <c r="BB134" s="69" t="s">
        <v>46</v>
      </c>
      <c r="BC134" s="69" t="s">
        <v>46</v>
      </c>
      <c r="BD134" s="69" t="s">
        <v>46</v>
      </c>
      <c r="BE134" s="69" t="s">
        <v>46</v>
      </c>
      <c r="BF134" s="69" t="s">
        <v>2</v>
      </c>
      <c r="BG134" s="69" t="s">
        <v>2</v>
      </c>
      <c r="BH134" s="69" t="s">
        <v>2</v>
      </c>
      <c r="BI134" s="69" t="s">
        <v>2</v>
      </c>
      <c r="BJ134" s="69" t="s">
        <v>2</v>
      </c>
      <c r="BK134" s="69" t="s">
        <v>2</v>
      </c>
      <c r="BL134" s="69" t="s">
        <v>448</v>
      </c>
      <c r="BM134" s="75" t="s">
        <v>11</v>
      </c>
      <c r="BN134" s="75" t="s">
        <v>2</v>
      </c>
      <c r="BO134" s="72">
        <v>230</v>
      </c>
      <c r="BP134" s="72">
        <v>230</v>
      </c>
      <c r="BQ134" s="75" t="s">
        <v>34</v>
      </c>
      <c r="BR134" s="72">
        <f>Table13[[#This Row],[Inhaler carbon footprint per inhaler in v2.37 (gCO2e) ]]-Table13[[#This Row],[Inhaler carbon footprint per inhaler in v2.36 (gCO2e) ]]</f>
        <v>0</v>
      </c>
      <c r="BS134" s="72" t="s">
        <v>809</v>
      </c>
    </row>
    <row r="135" spans="1:71" ht="75" x14ac:dyDescent="0.25">
      <c r="A135" s="69" t="s">
        <v>386</v>
      </c>
      <c r="B135" s="69" t="s">
        <v>215</v>
      </c>
      <c r="C135" s="69" t="s">
        <v>758</v>
      </c>
      <c r="D135" s="69" t="s">
        <v>5</v>
      </c>
      <c r="E135" s="69" t="s">
        <v>6</v>
      </c>
      <c r="F135" s="69" t="s">
        <v>3</v>
      </c>
      <c r="G135" s="69">
        <v>60</v>
      </c>
      <c r="H135" s="70">
        <v>16.12</v>
      </c>
      <c r="I135" s="70">
        <f t="shared" si="7"/>
        <v>0.26866666666666666</v>
      </c>
      <c r="J135" s="70" t="s">
        <v>26</v>
      </c>
      <c r="K135" s="69" t="s">
        <v>26</v>
      </c>
      <c r="L135" s="69" t="s">
        <v>8</v>
      </c>
      <c r="M135" s="69" t="s">
        <v>8</v>
      </c>
      <c r="N135" s="69" t="s">
        <v>2</v>
      </c>
      <c r="O135" s="69" t="s">
        <v>2</v>
      </c>
      <c r="P135" s="69" t="s">
        <v>2</v>
      </c>
      <c r="Q135" s="75" t="s">
        <v>2</v>
      </c>
      <c r="R135" s="69" t="s">
        <v>2</v>
      </c>
      <c r="S135" s="69" t="s">
        <v>2</v>
      </c>
      <c r="T135" s="69" t="s">
        <v>700</v>
      </c>
      <c r="U135" s="75" t="s">
        <v>2</v>
      </c>
      <c r="V135" s="75" t="s">
        <v>2</v>
      </c>
      <c r="W135" s="75" t="s">
        <v>2</v>
      </c>
      <c r="X135" s="75" t="s">
        <v>2</v>
      </c>
      <c r="Y135" s="75" t="s">
        <v>720</v>
      </c>
      <c r="Z135" s="69" t="s">
        <v>79</v>
      </c>
      <c r="AA135" s="69" t="s">
        <v>714</v>
      </c>
      <c r="AB135" s="69" t="s">
        <v>714</v>
      </c>
      <c r="AC135" s="69" t="s">
        <v>932</v>
      </c>
      <c r="AD135" s="72">
        <v>898</v>
      </c>
      <c r="AE135" s="75" t="s">
        <v>1078</v>
      </c>
      <c r="AF135" s="75" t="s">
        <v>46</v>
      </c>
      <c r="AG135" s="75" t="s">
        <v>46</v>
      </c>
      <c r="AH135" s="75" t="s">
        <v>46</v>
      </c>
      <c r="AI135" s="75" t="s">
        <v>46</v>
      </c>
      <c r="AJ135" s="72" t="str">
        <f>IF(Table13[[#This Row],[Indicative carbon footprint /inhaler (gCO2e) 7,8]]&gt;1796,"High","Low")</f>
        <v>Low</v>
      </c>
      <c r="AK135" s="75" t="s">
        <v>46</v>
      </c>
      <c r="AL135" s="72" t="s">
        <v>46</v>
      </c>
      <c r="AM135" s="69"/>
      <c r="AN135" s="69" t="s">
        <v>2</v>
      </c>
      <c r="AO135" s="69" t="s">
        <v>2</v>
      </c>
      <c r="AP135" s="69" t="s">
        <v>2</v>
      </c>
      <c r="AQ135" s="69" t="s">
        <v>2</v>
      </c>
      <c r="AR135" s="74" t="s">
        <v>234</v>
      </c>
      <c r="AS135" s="69" t="s">
        <v>34</v>
      </c>
      <c r="AT135" s="69" t="s">
        <v>46</v>
      </c>
      <c r="AU135" s="69" t="s">
        <v>46</v>
      </c>
      <c r="AV135" s="69" t="s">
        <v>46</v>
      </c>
      <c r="AW135" s="69" t="s">
        <v>46</v>
      </c>
      <c r="AX135" s="69" t="s">
        <v>46</v>
      </c>
      <c r="AY135" s="69" t="s">
        <v>46</v>
      </c>
      <c r="AZ135" s="69" t="s">
        <v>46</v>
      </c>
      <c r="BA135" s="69" t="s">
        <v>46</v>
      </c>
      <c r="BB135" s="69" t="s">
        <v>46</v>
      </c>
      <c r="BC135" s="69" t="s">
        <v>46</v>
      </c>
      <c r="BD135" s="69" t="s">
        <v>46</v>
      </c>
      <c r="BE135" s="69" t="s">
        <v>46</v>
      </c>
      <c r="BF135" s="69" t="s">
        <v>2</v>
      </c>
      <c r="BG135" s="69" t="s">
        <v>2</v>
      </c>
      <c r="BH135" s="69" t="s">
        <v>2</v>
      </c>
      <c r="BI135" s="69" t="s">
        <v>2</v>
      </c>
      <c r="BJ135" s="69" t="s">
        <v>2</v>
      </c>
      <c r="BK135" s="69" t="s">
        <v>2</v>
      </c>
      <c r="BL135" s="69" t="s">
        <v>46</v>
      </c>
      <c r="BM135" s="75" t="s">
        <v>843</v>
      </c>
      <c r="BN135" s="75" t="s">
        <v>2</v>
      </c>
      <c r="BO135" s="72">
        <v>1125</v>
      </c>
      <c r="BP135" s="72">
        <v>898</v>
      </c>
      <c r="BQ135" s="75" t="s">
        <v>11</v>
      </c>
      <c r="BR135" s="72">
        <f>Table13[[#This Row],[Inhaler carbon footprint per inhaler in v2.37 (gCO2e) ]]-Table13[[#This Row],[Inhaler carbon footprint per inhaler in v2.36 (gCO2e) ]]</f>
        <v>-227</v>
      </c>
      <c r="BS135" s="72">
        <f>Table13[[#This Row],[Inhaler carbon footprint per inhaler in v2.37 (gCO2e) ]]-Table13[[#This Row],[Inhaler carbon footprint per inhaler in v2.36 (gCO2e) ]]</f>
        <v>-227</v>
      </c>
    </row>
    <row r="136" spans="1:71" ht="105" x14ac:dyDescent="0.25">
      <c r="A136" s="69" t="s">
        <v>497</v>
      </c>
      <c r="B136" s="69" t="s">
        <v>47</v>
      </c>
      <c r="C136" s="69" t="s">
        <v>235</v>
      </c>
      <c r="D136" s="69" t="s">
        <v>32</v>
      </c>
      <c r="E136" s="69" t="s">
        <v>44</v>
      </c>
      <c r="F136" s="69" t="s">
        <v>226</v>
      </c>
      <c r="G136" s="69">
        <v>60</v>
      </c>
      <c r="H136" s="70">
        <v>26.35</v>
      </c>
      <c r="I136" s="70">
        <f t="shared" si="7"/>
        <v>0.43916666666666671</v>
      </c>
      <c r="J136" s="69" t="s">
        <v>7</v>
      </c>
      <c r="K136" s="69" t="s">
        <v>7</v>
      </c>
      <c r="L136" s="69" t="s">
        <v>2</v>
      </c>
      <c r="M136" s="75" t="s">
        <v>8</v>
      </c>
      <c r="N136" s="75" t="s">
        <v>2</v>
      </c>
      <c r="O136" s="75" t="s">
        <v>2</v>
      </c>
      <c r="P136" s="75" t="s">
        <v>2</v>
      </c>
      <c r="Q136" s="75" t="s">
        <v>2</v>
      </c>
      <c r="R136" s="75" t="s">
        <v>2</v>
      </c>
      <c r="S136" s="75" t="s">
        <v>2</v>
      </c>
      <c r="T136" s="75" t="s">
        <v>2</v>
      </c>
      <c r="U136" s="75" t="s">
        <v>2</v>
      </c>
      <c r="V136" s="75" t="s">
        <v>2</v>
      </c>
      <c r="W136" s="75" t="s">
        <v>2</v>
      </c>
      <c r="X136" s="75" t="s">
        <v>2</v>
      </c>
      <c r="Y136" s="75" t="s">
        <v>2</v>
      </c>
      <c r="Z136" s="69" t="s">
        <v>79</v>
      </c>
      <c r="AA136" s="69" t="s">
        <v>715</v>
      </c>
      <c r="AB136" s="69" t="s">
        <v>885</v>
      </c>
      <c r="AC136" s="69" t="s">
        <v>887</v>
      </c>
      <c r="AD136" s="72">
        <v>775</v>
      </c>
      <c r="AE136" s="75" t="s">
        <v>965</v>
      </c>
      <c r="AF136" s="75" t="s">
        <v>34</v>
      </c>
      <c r="AG136" s="75" t="s">
        <v>809</v>
      </c>
      <c r="AH136" s="75" t="s">
        <v>34</v>
      </c>
      <c r="AI136" s="75" t="s">
        <v>809</v>
      </c>
      <c r="AJ136" s="72" t="str">
        <f>IF(Table13[[#This Row],[Indicative carbon footprint /inhaler (gCO2e) 7,8]]&gt;1796,"High","Low")</f>
        <v>Low</v>
      </c>
      <c r="AK136" s="72" t="s">
        <v>34</v>
      </c>
      <c r="AL136" s="72" t="s">
        <v>46</v>
      </c>
      <c r="AM136" s="69"/>
      <c r="AN136" s="69" t="s">
        <v>2</v>
      </c>
      <c r="AO136" s="69" t="s">
        <v>2</v>
      </c>
      <c r="AP136" s="69" t="s">
        <v>2</v>
      </c>
      <c r="AQ136" s="69" t="s">
        <v>2</v>
      </c>
      <c r="AR136" s="74" t="s">
        <v>488</v>
      </c>
      <c r="AS136" s="69" t="s">
        <v>34</v>
      </c>
      <c r="AT136" s="69" t="s">
        <v>46</v>
      </c>
      <c r="AU136" s="69" t="s">
        <v>46</v>
      </c>
      <c r="AV136" s="69" t="s">
        <v>46</v>
      </c>
      <c r="AW136" s="69" t="s">
        <v>46</v>
      </c>
      <c r="AX136" s="69" t="s">
        <v>46</v>
      </c>
      <c r="AY136" s="69" t="s">
        <v>46</v>
      </c>
      <c r="AZ136" s="69" t="s">
        <v>46</v>
      </c>
      <c r="BA136" s="69" t="s">
        <v>46</v>
      </c>
      <c r="BB136" s="69" t="s">
        <v>46</v>
      </c>
      <c r="BC136" s="69" t="s">
        <v>46</v>
      </c>
      <c r="BD136" s="69" t="s">
        <v>46</v>
      </c>
      <c r="BE136" s="69" t="s">
        <v>46</v>
      </c>
      <c r="BF136" s="69" t="s">
        <v>2</v>
      </c>
      <c r="BG136" s="69" t="s">
        <v>2</v>
      </c>
      <c r="BH136" s="69" t="s">
        <v>2</v>
      </c>
      <c r="BI136" s="69" t="s">
        <v>2</v>
      </c>
      <c r="BJ136" s="69" t="s">
        <v>2</v>
      </c>
      <c r="BK136" s="69" t="s">
        <v>2</v>
      </c>
      <c r="BL136" s="69" t="s">
        <v>46</v>
      </c>
      <c r="BM136" s="75" t="s">
        <v>11</v>
      </c>
      <c r="BN136" s="75" t="s">
        <v>2</v>
      </c>
      <c r="BO136" s="72">
        <v>775</v>
      </c>
      <c r="BP136" s="72">
        <v>775</v>
      </c>
      <c r="BQ136" s="75" t="s">
        <v>34</v>
      </c>
      <c r="BR136" s="72">
        <f>Table13[[#This Row],[Inhaler carbon footprint per inhaler in v2.37 (gCO2e) ]]-Table13[[#This Row],[Inhaler carbon footprint per inhaler in v2.36 (gCO2e) ]]</f>
        <v>0</v>
      </c>
      <c r="BS136" s="72" t="s">
        <v>809</v>
      </c>
    </row>
    <row r="137" spans="1:71" ht="105" x14ac:dyDescent="0.25">
      <c r="A137" s="69" t="s">
        <v>485</v>
      </c>
      <c r="B137" s="69" t="s">
        <v>47</v>
      </c>
      <c r="C137" s="69" t="s">
        <v>235</v>
      </c>
      <c r="D137" s="69" t="s">
        <v>32</v>
      </c>
      <c r="E137" s="69" t="s">
        <v>44</v>
      </c>
      <c r="F137" s="69" t="s">
        <v>226</v>
      </c>
      <c r="G137" s="69">
        <v>60</v>
      </c>
      <c r="H137" s="70">
        <v>26.35</v>
      </c>
      <c r="I137" s="70">
        <f t="shared" si="7"/>
        <v>0.43916666666666671</v>
      </c>
      <c r="J137" s="69" t="s">
        <v>7</v>
      </c>
      <c r="K137" s="69" t="s">
        <v>7</v>
      </c>
      <c r="L137" s="69" t="s">
        <v>2</v>
      </c>
      <c r="M137" s="75" t="s">
        <v>8</v>
      </c>
      <c r="N137" s="75" t="s">
        <v>2</v>
      </c>
      <c r="O137" s="75" t="s">
        <v>2</v>
      </c>
      <c r="P137" s="75" t="s">
        <v>2</v>
      </c>
      <c r="Q137" s="75" t="s">
        <v>2</v>
      </c>
      <c r="R137" s="75" t="s">
        <v>2</v>
      </c>
      <c r="S137" s="75" t="s">
        <v>2</v>
      </c>
      <c r="T137" s="75" t="s">
        <v>2</v>
      </c>
      <c r="U137" s="75" t="s">
        <v>2</v>
      </c>
      <c r="V137" s="75" t="s">
        <v>2</v>
      </c>
      <c r="W137" s="75" t="s">
        <v>2</v>
      </c>
      <c r="X137" s="75" t="s">
        <v>2</v>
      </c>
      <c r="Y137" s="75" t="s">
        <v>2</v>
      </c>
      <c r="Z137" s="69" t="s">
        <v>79</v>
      </c>
      <c r="AA137" s="69" t="s">
        <v>715</v>
      </c>
      <c r="AB137" s="69" t="s">
        <v>886</v>
      </c>
      <c r="AC137" s="69" t="s">
        <v>887</v>
      </c>
      <c r="AD137" s="72">
        <v>230</v>
      </c>
      <c r="AE137" s="75" t="s">
        <v>965</v>
      </c>
      <c r="AF137" s="75" t="s">
        <v>34</v>
      </c>
      <c r="AG137" s="75" t="s">
        <v>809</v>
      </c>
      <c r="AH137" s="75" t="s">
        <v>34</v>
      </c>
      <c r="AI137" s="75" t="s">
        <v>809</v>
      </c>
      <c r="AJ137" s="72" t="str">
        <f>IF(Table13[[#This Row],[Indicative carbon footprint /inhaler (gCO2e) 7,8]]&gt;1796,"High","Low")</f>
        <v>Low</v>
      </c>
      <c r="AK137" s="72" t="s">
        <v>34</v>
      </c>
      <c r="AL137" s="72" t="s">
        <v>46</v>
      </c>
      <c r="AM137" s="70"/>
      <c r="AN137" s="69" t="s">
        <v>2</v>
      </c>
      <c r="AO137" s="69" t="s">
        <v>2</v>
      </c>
      <c r="AP137" s="69" t="s">
        <v>2</v>
      </c>
      <c r="AQ137" s="69" t="s">
        <v>2</v>
      </c>
      <c r="AR137" s="74" t="s">
        <v>489</v>
      </c>
      <c r="AS137" s="69" t="s">
        <v>34</v>
      </c>
      <c r="AT137" s="69" t="s">
        <v>46</v>
      </c>
      <c r="AU137" s="69" t="s">
        <v>46</v>
      </c>
      <c r="AV137" s="69" t="s">
        <v>46</v>
      </c>
      <c r="AW137" s="69" t="s">
        <v>46</v>
      </c>
      <c r="AX137" s="69" t="s">
        <v>46</v>
      </c>
      <c r="AY137" s="69" t="s">
        <v>46</v>
      </c>
      <c r="AZ137" s="69" t="s">
        <v>46</v>
      </c>
      <c r="BA137" s="69" t="s">
        <v>46</v>
      </c>
      <c r="BB137" s="69" t="s">
        <v>46</v>
      </c>
      <c r="BC137" s="69" t="s">
        <v>46</v>
      </c>
      <c r="BD137" s="69" t="s">
        <v>46</v>
      </c>
      <c r="BE137" s="69" t="s">
        <v>46</v>
      </c>
      <c r="BF137" s="69" t="s">
        <v>2</v>
      </c>
      <c r="BG137" s="69" t="s">
        <v>2</v>
      </c>
      <c r="BH137" s="69" t="s">
        <v>2</v>
      </c>
      <c r="BI137" s="69" t="s">
        <v>2</v>
      </c>
      <c r="BJ137" s="69" t="s">
        <v>2</v>
      </c>
      <c r="BK137" s="69" t="s">
        <v>2</v>
      </c>
      <c r="BL137" s="69" t="s">
        <v>46</v>
      </c>
      <c r="BM137" s="75" t="s">
        <v>11</v>
      </c>
      <c r="BN137" s="75" t="s">
        <v>2</v>
      </c>
      <c r="BO137" s="72">
        <v>230</v>
      </c>
      <c r="BP137" s="72">
        <v>230</v>
      </c>
      <c r="BQ137" s="75" t="s">
        <v>34</v>
      </c>
      <c r="BR137" s="72">
        <f>Table13[[#This Row],[Inhaler carbon footprint per inhaler in v2.37 (gCO2e) ]]-Table13[[#This Row],[Inhaler carbon footprint per inhaler in v2.36 (gCO2e) ]]</f>
        <v>0</v>
      </c>
      <c r="BS137" s="72" t="s">
        <v>809</v>
      </c>
    </row>
    <row r="138" spans="1:71" ht="409.5" x14ac:dyDescent="0.25">
      <c r="A138" s="69" t="s">
        <v>387</v>
      </c>
      <c r="B138" s="69" t="s">
        <v>24</v>
      </c>
      <c r="C138" s="69" t="s">
        <v>770</v>
      </c>
      <c r="D138" s="69" t="s">
        <v>12</v>
      </c>
      <c r="E138" s="69" t="s">
        <v>6</v>
      </c>
      <c r="F138" s="69" t="s">
        <v>13</v>
      </c>
      <c r="G138" s="69">
        <v>120</v>
      </c>
      <c r="H138" s="70">
        <v>14</v>
      </c>
      <c r="I138" s="70">
        <f t="shared" si="7"/>
        <v>0.11666666666666667</v>
      </c>
      <c r="J138" s="69" t="s">
        <v>26</v>
      </c>
      <c r="K138" s="69" t="s">
        <v>26</v>
      </c>
      <c r="L138" s="69" t="s">
        <v>79</v>
      </c>
      <c r="M138" s="69" t="s">
        <v>8</v>
      </c>
      <c r="N138" s="69" t="s">
        <v>2</v>
      </c>
      <c r="O138" s="69" t="s">
        <v>2</v>
      </c>
      <c r="P138" s="69" t="s">
        <v>2</v>
      </c>
      <c r="Q138" s="75" t="s">
        <v>2</v>
      </c>
      <c r="R138" s="69" t="s">
        <v>699</v>
      </c>
      <c r="S138" s="69" t="s">
        <v>703</v>
      </c>
      <c r="T138" s="69" t="s">
        <v>2</v>
      </c>
      <c r="U138" s="69" t="s">
        <v>1124</v>
      </c>
      <c r="V138" s="69" t="s">
        <v>1125</v>
      </c>
      <c r="W138" s="70">
        <v>19.600000000000001</v>
      </c>
      <c r="X138" s="70" t="s">
        <v>2</v>
      </c>
      <c r="Y138" s="75" t="s">
        <v>718</v>
      </c>
      <c r="Z138" s="69" t="s">
        <v>79</v>
      </c>
      <c r="AA138" s="69" t="s">
        <v>714</v>
      </c>
      <c r="AB138" s="69" t="s">
        <v>797</v>
      </c>
      <c r="AC138" s="69" t="s">
        <v>796</v>
      </c>
      <c r="AD138" s="72" t="str">
        <f>Table13[[#This Row],[Carbon footprint per inhaler attributed to propellant PrescQIPP calculated as gCO2e (from PIL or as assigned in the methodology)11-13]]</f>
        <v>No data available</v>
      </c>
      <c r="AE138" s="75" t="s">
        <v>1074</v>
      </c>
      <c r="AF138" s="75" t="s">
        <v>2</v>
      </c>
      <c r="AG138" s="75" t="s">
        <v>46</v>
      </c>
      <c r="AH138" s="75" t="s">
        <v>46</v>
      </c>
      <c r="AI138" s="75" t="s">
        <v>46</v>
      </c>
      <c r="AJ138" s="72" t="str">
        <f>IF(Table13[[#This Row],[Indicative carbon footprint /inhaler (gCO2e) 7,8]]&gt;1796,"High","Low")</f>
        <v>High</v>
      </c>
      <c r="AK138" s="75" t="s">
        <v>46</v>
      </c>
      <c r="AL138" s="72" t="s">
        <v>46</v>
      </c>
      <c r="AM138" s="69" t="s">
        <v>1074</v>
      </c>
      <c r="AN138" s="69" t="s">
        <v>266</v>
      </c>
      <c r="AO138" s="69" t="s">
        <v>46</v>
      </c>
      <c r="AP138" s="69" t="s">
        <v>46</v>
      </c>
      <c r="AQ138" s="72" t="s">
        <v>46</v>
      </c>
      <c r="AR138" s="74" t="s">
        <v>236</v>
      </c>
      <c r="AS138" s="69" t="s">
        <v>34</v>
      </c>
      <c r="AT138" s="69" t="s">
        <v>257</v>
      </c>
      <c r="AU138" s="69" t="s">
        <v>46</v>
      </c>
      <c r="AV138" s="69" t="s">
        <v>46</v>
      </c>
      <c r="AW138" s="69" t="s">
        <v>46</v>
      </c>
      <c r="AX138" s="69" t="s">
        <v>46</v>
      </c>
      <c r="AY138" s="69" t="s">
        <v>46</v>
      </c>
      <c r="AZ138" s="69" t="s">
        <v>46</v>
      </c>
      <c r="BA138" s="69" t="s">
        <v>46</v>
      </c>
      <c r="BB138" s="69" t="s">
        <v>46</v>
      </c>
      <c r="BC138" s="69" t="s">
        <v>46</v>
      </c>
      <c r="BD138" s="69" t="s">
        <v>46</v>
      </c>
      <c r="BE138" s="69" t="s">
        <v>46</v>
      </c>
      <c r="BF138" s="69" t="s">
        <v>46</v>
      </c>
      <c r="BG138" s="69">
        <v>2030</v>
      </c>
      <c r="BH138" s="69" t="s">
        <v>801</v>
      </c>
      <c r="BI138" s="69" t="s">
        <v>34</v>
      </c>
      <c r="BJ138" s="69" t="s">
        <v>46</v>
      </c>
      <c r="BK138" s="69" t="s">
        <v>11</v>
      </c>
      <c r="BL138" s="69" t="s">
        <v>786</v>
      </c>
      <c r="BM138" s="75" t="s">
        <v>11</v>
      </c>
      <c r="BN138" s="75" t="s">
        <v>1068</v>
      </c>
      <c r="BO138" s="72">
        <v>34400.400000000001</v>
      </c>
      <c r="BP138" s="72">
        <v>34132</v>
      </c>
      <c r="BQ138" s="75" t="s">
        <v>11</v>
      </c>
      <c r="BR138" s="72">
        <f>Table13[[#This Row],[Inhaler carbon footprint per inhaler in v2.37 (gCO2e) ]]-Table13[[#This Row],[Inhaler carbon footprint per inhaler in v2.36 (gCO2e) ]]</f>
        <v>-268.40000000000146</v>
      </c>
      <c r="BS138" s="72">
        <f>Table13[[#This Row],[Inhaler carbon footprint per inhaler in v2.37 (gCO2e) ]]-Table13[[#This Row],[Inhaler carbon footprint per inhaler in v2.36 (gCO2e) ]]</f>
        <v>-268.40000000000146</v>
      </c>
    </row>
    <row r="139" spans="1:71" ht="409.5" x14ac:dyDescent="0.25">
      <c r="A139" s="69" t="s">
        <v>388</v>
      </c>
      <c r="B139" s="69" t="s">
        <v>24</v>
      </c>
      <c r="C139" s="69" t="s">
        <v>752</v>
      </c>
      <c r="D139" s="69" t="s">
        <v>12</v>
      </c>
      <c r="E139" s="69" t="s">
        <v>6</v>
      </c>
      <c r="F139" s="69" t="s">
        <v>3</v>
      </c>
      <c r="G139" s="69">
        <v>120</v>
      </c>
      <c r="H139" s="70">
        <v>28</v>
      </c>
      <c r="I139" s="70">
        <f t="shared" si="7"/>
        <v>0.23333333333333334</v>
      </c>
      <c r="J139" s="69" t="s">
        <v>57</v>
      </c>
      <c r="K139" s="69" t="s">
        <v>1054</v>
      </c>
      <c r="L139" s="69" t="s">
        <v>79</v>
      </c>
      <c r="M139" s="69" t="s">
        <v>8</v>
      </c>
      <c r="N139" s="69" t="s">
        <v>2</v>
      </c>
      <c r="O139" s="69" t="s">
        <v>2</v>
      </c>
      <c r="P139" s="69" t="s">
        <v>2</v>
      </c>
      <c r="Q139" s="75" t="s">
        <v>2</v>
      </c>
      <c r="R139" s="69" t="s">
        <v>700</v>
      </c>
      <c r="S139" s="69" t="s">
        <v>2</v>
      </c>
      <c r="T139" s="69" t="s">
        <v>2</v>
      </c>
      <c r="U139" s="69" t="s">
        <v>1123</v>
      </c>
      <c r="V139" s="69" t="s">
        <v>1126</v>
      </c>
      <c r="W139" s="70">
        <v>19.600000000000001</v>
      </c>
      <c r="X139" s="70" t="s">
        <v>2</v>
      </c>
      <c r="Y139" s="75" t="s">
        <v>718</v>
      </c>
      <c r="Z139" s="69" t="s">
        <v>79</v>
      </c>
      <c r="AA139" s="69" t="s">
        <v>715</v>
      </c>
      <c r="AB139" s="69" t="s">
        <v>715</v>
      </c>
      <c r="AC139" s="69" t="s">
        <v>785</v>
      </c>
      <c r="AD139" s="72">
        <v>579.6</v>
      </c>
      <c r="AE139" s="75" t="s">
        <v>9</v>
      </c>
      <c r="AF139" s="75" t="s">
        <v>2</v>
      </c>
      <c r="AG139" s="75" t="s">
        <v>46</v>
      </c>
      <c r="AH139" s="75" t="s">
        <v>46</v>
      </c>
      <c r="AI139" s="75" t="s">
        <v>46</v>
      </c>
      <c r="AJ139" s="72" t="str">
        <f>IF(Table13[[#This Row],[Indicative carbon footprint /inhaler (gCO2e) 7,8]]&gt;1796,"High","Low")</f>
        <v>Low</v>
      </c>
      <c r="AK139" s="75" t="s">
        <v>46</v>
      </c>
      <c r="AL139" s="72" t="s">
        <v>46</v>
      </c>
      <c r="AM139" s="69"/>
      <c r="AN139" s="69" t="s">
        <v>2</v>
      </c>
      <c r="AO139" s="69" t="s">
        <v>2</v>
      </c>
      <c r="AP139" s="69" t="s">
        <v>2</v>
      </c>
      <c r="AQ139" s="69" t="s">
        <v>2</v>
      </c>
      <c r="AR139" s="74" t="s">
        <v>237</v>
      </c>
      <c r="AS139" s="69" t="s">
        <v>34</v>
      </c>
      <c r="AT139" s="69" t="s">
        <v>257</v>
      </c>
      <c r="AU139" s="69" t="s">
        <v>46</v>
      </c>
      <c r="AV139" s="69" t="s">
        <v>46</v>
      </c>
      <c r="AW139" s="69" t="s">
        <v>46</v>
      </c>
      <c r="AX139" s="69" t="s">
        <v>46</v>
      </c>
      <c r="AY139" s="69" t="s">
        <v>46</v>
      </c>
      <c r="AZ139" s="69" t="s">
        <v>46</v>
      </c>
      <c r="BA139" s="69" t="s">
        <v>46</v>
      </c>
      <c r="BB139" s="69" t="s">
        <v>46</v>
      </c>
      <c r="BC139" s="69" t="s">
        <v>46</v>
      </c>
      <c r="BD139" s="69" t="s">
        <v>46</v>
      </c>
      <c r="BE139" s="69" t="s">
        <v>46</v>
      </c>
      <c r="BF139" s="69" t="s">
        <v>2</v>
      </c>
      <c r="BG139" s="69" t="s">
        <v>2</v>
      </c>
      <c r="BH139" s="69" t="s">
        <v>2</v>
      </c>
      <c r="BI139" s="69" t="s">
        <v>2</v>
      </c>
      <c r="BJ139" s="69" t="s">
        <v>2</v>
      </c>
      <c r="BK139" s="69" t="s">
        <v>2</v>
      </c>
      <c r="BL139" s="69" t="s">
        <v>786</v>
      </c>
      <c r="BM139" s="75" t="s">
        <v>11</v>
      </c>
      <c r="BN139" s="75" t="s">
        <v>2</v>
      </c>
      <c r="BO139" s="72">
        <v>579.6</v>
      </c>
      <c r="BP139" s="72">
        <v>579.6</v>
      </c>
      <c r="BQ139" s="75" t="s">
        <v>34</v>
      </c>
      <c r="BR139" s="72">
        <f>Table13[[#This Row],[Inhaler carbon footprint per inhaler in v2.37 (gCO2e) ]]-Table13[[#This Row],[Inhaler carbon footprint per inhaler in v2.36 (gCO2e) ]]</f>
        <v>0</v>
      </c>
      <c r="BS139" s="72" t="s">
        <v>809</v>
      </c>
    </row>
    <row r="140" spans="1:71" ht="296.10000000000002" customHeight="1" x14ac:dyDescent="0.25">
      <c r="A140" s="69" t="s">
        <v>389</v>
      </c>
      <c r="B140" s="69" t="s">
        <v>24</v>
      </c>
      <c r="C140" s="69" t="s">
        <v>767</v>
      </c>
      <c r="D140" s="69" t="s">
        <v>32</v>
      </c>
      <c r="E140" s="69" t="s">
        <v>6</v>
      </c>
      <c r="F140" s="69" t="s">
        <v>13</v>
      </c>
      <c r="G140" s="69">
        <v>120</v>
      </c>
      <c r="H140" s="70">
        <v>28</v>
      </c>
      <c r="I140" s="70">
        <f t="shared" si="7"/>
        <v>0.23333333333333334</v>
      </c>
      <c r="J140" s="69" t="s">
        <v>7</v>
      </c>
      <c r="K140" s="69" t="s">
        <v>7</v>
      </c>
      <c r="L140" s="69" t="s">
        <v>2</v>
      </c>
      <c r="M140" s="69" t="s">
        <v>8</v>
      </c>
      <c r="N140" s="69" t="s">
        <v>2</v>
      </c>
      <c r="O140" s="69" t="s">
        <v>2</v>
      </c>
      <c r="P140" s="69" t="s">
        <v>2</v>
      </c>
      <c r="Q140" s="75" t="s">
        <v>2</v>
      </c>
      <c r="R140" s="69" t="s">
        <v>2</v>
      </c>
      <c r="S140" s="69" t="s">
        <v>2</v>
      </c>
      <c r="T140" s="69" t="s">
        <v>2</v>
      </c>
      <c r="U140" s="75" t="s">
        <v>2</v>
      </c>
      <c r="V140" s="75" t="s">
        <v>2</v>
      </c>
      <c r="W140" s="75" t="s">
        <v>2</v>
      </c>
      <c r="X140" s="75" t="s">
        <v>2</v>
      </c>
      <c r="Y140" s="75" t="s">
        <v>718</v>
      </c>
      <c r="Z140" s="69" t="s">
        <v>79</v>
      </c>
      <c r="AA140" s="69" t="s">
        <v>714</v>
      </c>
      <c r="AB140" s="69" t="s">
        <v>797</v>
      </c>
      <c r="AC140" s="69" t="s">
        <v>796</v>
      </c>
      <c r="AD140" s="72">
        <f>Table13[[#This Row],[Carbon footprint per inhaler attributed to propellant PrescQIPP calculated as gCO2e (from PIL or as assigned in the methodology)11-13]]</f>
        <v>34132</v>
      </c>
      <c r="AE140" s="75" t="s">
        <v>530</v>
      </c>
      <c r="AF140" s="75" t="s">
        <v>2</v>
      </c>
      <c r="AG140" s="75" t="s">
        <v>46</v>
      </c>
      <c r="AH140" s="75" t="s">
        <v>46</v>
      </c>
      <c r="AI140" s="75" t="s">
        <v>46</v>
      </c>
      <c r="AJ140" s="72" t="str">
        <f>IF(Table13[[#This Row],[Indicative carbon footprint /inhaler (gCO2e) 7,8]]&gt;1796,"High","Low")</f>
        <v>High</v>
      </c>
      <c r="AK140" s="75" t="s">
        <v>46</v>
      </c>
      <c r="AL140" s="72" t="s">
        <v>46</v>
      </c>
      <c r="AM140" s="69"/>
      <c r="AN140" s="69" t="s">
        <v>266</v>
      </c>
      <c r="AO140" s="69">
        <v>10.6</v>
      </c>
      <c r="AP140" s="69">
        <v>3.4000000000000002E-2</v>
      </c>
      <c r="AQ140" s="72">
        <v>34132</v>
      </c>
      <c r="AR140" s="74" t="s">
        <v>238</v>
      </c>
      <c r="AS140" s="69" t="s">
        <v>34</v>
      </c>
      <c r="AT140" s="69" t="s">
        <v>257</v>
      </c>
      <c r="AU140" s="69" t="s">
        <v>46</v>
      </c>
      <c r="AV140" s="69" t="s">
        <v>46</v>
      </c>
      <c r="AW140" s="69" t="s">
        <v>46</v>
      </c>
      <c r="AX140" s="69" t="s">
        <v>46</v>
      </c>
      <c r="AY140" s="69" t="s">
        <v>46</v>
      </c>
      <c r="AZ140" s="69" t="s">
        <v>46</v>
      </c>
      <c r="BA140" s="69" t="s">
        <v>46</v>
      </c>
      <c r="BB140" s="69" t="s">
        <v>46</v>
      </c>
      <c r="BC140" s="69" t="s">
        <v>46</v>
      </c>
      <c r="BD140" s="69" t="s">
        <v>46</v>
      </c>
      <c r="BE140" s="69" t="s">
        <v>46</v>
      </c>
      <c r="BF140" s="69" t="s">
        <v>46</v>
      </c>
      <c r="BG140" s="69" t="s">
        <v>46</v>
      </c>
      <c r="BH140" s="69">
        <v>2030</v>
      </c>
      <c r="BI140" s="69" t="s">
        <v>792</v>
      </c>
      <c r="BJ140" s="69" t="s">
        <v>46</v>
      </c>
      <c r="BK140" s="69" t="s">
        <v>798</v>
      </c>
      <c r="BL140" s="69" t="s">
        <v>786</v>
      </c>
      <c r="BM140" s="75" t="s">
        <v>11</v>
      </c>
      <c r="BN140" s="75" t="s">
        <v>878</v>
      </c>
      <c r="BO140" s="72">
        <v>34400.400000000001</v>
      </c>
      <c r="BP140" s="72">
        <v>34132</v>
      </c>
      <c r="BQ140" s="75" t="s">
        <v>11</v>
      </c>
      <c r="BR140" s="72">
        <f>Table13[[#This Row],[Inhaler carbon footprint per inhaler in v2.37 (gCO2e) ]]-Table13[[#This Row],[Inhaler carbon footprint per inhaler in v2.36 (gCO2e) ]]</f>
        <v>-268.40000000000146</v>
      </c>
      <c r="BS140" s="72">
        <f>Table13[[#This Row],[Inhaler carbon footprint per inhaler in v2.37 (gCO2e) ]]-Table13[[#This Row],[Inhaler carbon footprint per inhaler in v2.36 (gCO2e) ]]</f>
        <v>-268.40000000000146</v>
      </c>
    </row>
    <row r="141" spans="1:71" ht="117" customHeight="1" x14ac:dyDescent="0.25">
      <c r="A141" s="69" t="s">
        <v>390</v>
      </c>
      <c r="B141" s="69" t="s">
        <v>24</v>
      </c>
      <c r="C141" s="69" t="s">
        <v>753</v>
      </c>
      <c r="D141" s="69" t="s">
        <v>5</v>
      </c>
      <c r="E141" s="69" t="s">
        <v>6</v>
      </c>
      <c r="F141" s="69" t="s">
        <v>3</v>
      </c>
      <c r="G141" s="69">
        <v>120</v>
      </c>
      <c r="H141" s="70">
        <v>28</v>
      </c>
      <c r="I141" s="70">
        <f t="shared" si="7"/>
        <v>0.23333333333333334</v>
      </c>
      <c r="J141" s="69" t="s">
        <v>26</v>
      </c>
      <c r="K141" s="69" t="s">
        <v>746</v>
      </c>
      <c r="L141" s="69" t="s">
        <v>79</v>
      </c>
      <c r="M141" s="69" t="s">
        <v>79</v>
      </c>
      <c r="N141" s="69" t="s">
        <v>744</v>
      </c>
      <c r="O141" s="69" t="s">
        <v>2</v>
      </c>
      <c r="P141" s="69" t="s">
        <v>2</v>
      </c>
      <c r="Q141" s="75" t="s">
        <v>2</v>
      </c>
      <c r="R141" s="69" t="s">
        <v>700</v>
      </c>
      <c r="S141" s="69" t="s">
        <v>699</v>
      </c>
      <c r="T141" s="69" t="s">
        <v>2</v>
      </c>
      <c r="U141" s="95" t="s">
        <v>1119</v>
      </c>
      <c r="V141" s="69" t="s">
        <v>698</v>
      </c>
      <c r="W141" s="70">
        <v>19.600000000000001</v>
      </c>
      <c r="X141" s="70">
        <v>32.666666666666664</v>
      </c>
      <c r="Y141" s="75" t="s">
        <v>718</v>
      </c>
      <c r="Z141" s="69" t="s">
        <v>79</v>
      </c>
      <c r="AA141" s="69" t="s">
        <v>715</v>
      </c>
      <c r="AB141" s="69" t="s">
        <v>715</v>
      </c>
      <c r="AC141" s="69" t="s">
        <v>785</v>
      </c>
      <c r="AD141" s="72">
        <v>800.4</v>
      </c>
      <c r="AE141" s="75" t="s">
        <v>9</v>
      </c>
      <c r="AF141" s="75" t="s">
        <v>2</v>
      </c>
      <c r="AG141" s="75" t="s">
        <v>46</v>
      </c>
      <c r="AH141" s="75" t="s">
        <v>46</v>
      </c>
      <c r="AI141" s="75" t="s">
        <v>46</v>
      </c>
      <c r="AJ141" s="72" t="str">
        <f>IF(Table13[[#This Row],[Indicative carbon footprint /inhaler (gCO2e) 7,8]]&gt;1796,"High","Low")</f>
        <v>Low</v>
      </c>
      <c r="AK141" s="75" t="s">
        <v>46</v>
      </c>
      <c r="AL141" s="72" t="s">
        <v>46</v>
      </c>
      <c r="AM141" s="69"/>
      <c r="AN141" s="69" t="s">
        <v>2</v>
      </c>
      <c r="AO141" s="69" t="s">
        <v>2</v>
      </c>
      <c r="AP141" s="69" t="s">
        <v>2</v>
      </c>
      <c r="AQ141" s="69" t="s">
        <v>2</v>
      </c>
      <c r="AR141" s="74" t="s">
        <v>239</v>
      </c>
      <c r="AS141" s="69" t="s">
        <v>34</v>
      </c>
      <c r="AT141" s="69" t="s">
        <v>257</v>
      </c>
      <c r="AU141" s="69" t="s">
        <v>46</v>
      </c>
      <c r="AV141" s="69" t="s">
        <v>46</v>
      </c>
      <c r="AW141" s="69" t="s">
        <v>46</v>
      </c>
      <c r="AX141" s="69" t="s">
        <v>46</v>
      </c>
      <c r="AY141" s="69" t="s">
        <v>46</v>
      </c>
      <c r="AZ141" s="69" t="s">
        <v>46</v>
      </c>
      <c r="BA141" s="69" t="s">
        <v>46</v>
      </c>
      <c r="BB141" s="69" t="s">
        <v>46</v>
      </c>
      <c r="BC141" s="69" t="s">
        <v>46</v>
      </c>
      <c r="BD141" s="69" t="s">
        <v>46</v>
      </c>
      <c r="BE141" s="69" t="s">
        <v>46</v>
      </c>
      <c r="BF141" s="69" t="s">
        <v>2</v>
      </c>
      <c r="BG141" s="69" t="s">
        <v>2</v>
      </c>
      <c r="BH141" s="69" t="s">
        <v>2</v>
      </c>
      <c r="BI141" s="69" t="s">
        <v>2</v>
      </c>
      <c r="BJ141" s="69" t="s">
        <v>2</v>
      </c>
      <c r="BK141" s="69" t="s">
        <v>2</v>
      </c>
      <c r="BL141" s="69" t="s">
        <v>786</v>
      </c>
      <c r="BM141" s="75" t="s">
        <v>11</v>
      </c>
      <c r="BN141" s="75" t="s">
        <v>2</v>
      </c>
      <c r="BO141" s="72">
        <v>800.4</v>
      </c>
      <c r="BP141" s="72">
        <v>800.4</v>
      </c>
      <c r="BQ141" s="75" t="s">
        <v>34</v>
      </c>
      <c r="BR141" s="72">
        <f>Table13[[#This Row],[Inhaler carbon footprint per inhaler in v2.37 (gCO2e) ]]-Table13[[#This Row],[Inhaler carbon footprint per inhaler in v2.36 (gCO2e) ]]</f>
        <v>0</v>
      </c>
      <c r="BS141" s="72" t="s">
        <v>809</v>
      </c>
    </row>
    <row r="142" spans="1:71" ht="109.5" customHeight="1" x14ac:dyDescent="0.25">
      <c r="A142" s="69" t="s">
        <v>391</v>
      </c>
      <c r="B142" s="69" t="s">
        <v>24</v>
      </c>
      <c r="C142" s="69" t="s">
        <v>754</v>
      </c>
      <c r="D142" s="69" t="s">
        <v>5</v>
      </c>
      <c r="E142" s="69" t="s">
        <v>6</v>
      </c>
      <c r="F142" s="69" t="s">
        <v>3</v>
      </c>
      <c r="G142" s="69">
        <v>60</v>
      </c>
      <c r="H142" s="70">
        <v>28</v>
      </c>
      <c r="I142" s="70">
        <f t="shared" si="7"/>
        <v>0.46666666666666667</v>
      </c>
      <c r="J142" s="69" t="s">
        <v>26</v>
      </c>
      <c r="K142" s="69" t="s">
        <v>240</v>
      </c>
      <c r="L142" s="69" t="s">
        <v>8</v>
      </c>
      <c r="M142" s="69" t="s">
        <v>8</v>
      </c>
      <c r="N142" s="69" t="s">
        <v>2</v>
      </c>
      <c r="O142" s="69" t="s">
        <v>2</v>
      </c>
      <c r="P142" s="69" t="s">
        <v>2</v>
      </c>
      <c r="Q142" s="75" t="s">
        <v>2</v>
      </c>
      <c r="R142" s="69" t="s">
        <v>2</v>
      </c>
      <c r="S142" s="69" t="s">
        <v>700</v>
      </c>
      <c r="T142" s="69" t="s">
        <v>699</v>
      </c>
      <c r="U142" s="75" t="s">
        <v>2</v>
      </c>
      <c r="V142" s="75" t="s">
        <v>2</v>
      </c>
      <c r="W142" s="75" t="s">
        <v>2</v>
      </c>
      <c r="X142" s="75" t="s">
        <v>2</v>
      </c>
      <c r="Y142" s="75" t="s">
        <v>718</v>
      </c>
      <c r="Z142" s="69" t="s">
        <v>79</v>
      </c>
      <c r="AA142" s="69" t="s">
        <v>715</v>
      </c>
      <c r="AB142" s="69" t="s">
        <v>715</v>
      </c>
      <c r="AC142" s="69" t="s">
        <v>785</v>
      </c>
      <c r="AD142" s="72">
        <v>1050</v>
      </c>
      <c r="AE142" s="75" t="s">
        <v>9</v>
      </c>
      <c r="AF142" s="75" t="s">
        <v>2</v>
      </c>
      <c r="AG142" s="75" t="s">
        <v>46</v>
      </c>
      <c r="AH142" s="75" t="s">
        <v>46</v>
      </c>
      <c r="AI142" s="75" t="s">
        <v>46</v>
      </c>
      <c r="AJ142" s="72" t="str">
        <f>IF(Table13[[#This Row],[Indicative carbon footprint /inhaler (gCO2e) 7,8]]&gt;1796,"High","Low")</f>
        <v>Low</v>
      </c>
      <c r="AK142" s="75" t="s">
        <v>46</v>
      </c>
      <c r="AL142" s="72" t="s">
        <v>46</v>
      </c>
      <c r="AM142" s="69"/>
      <c r="AN142" s="69" t="s">
        <v>2</v>
      </c>
      <c r="AO142" s="69" t="s">
        <v>2</v>
      </c>
      <c r="AP142" s="69" t="s">
        <v>2</v>
      </c>
      <c r="AQ142" s="69" t="s">
        <v>2</v>
      </c>
      <c r="AR142" s="74" t="s">
        <v>241</v>
      </c>
      <c r="AS142" s="69" t="s">
        <v>34</v>
      </c>
      <c r="AT142" s="69" t="s">
        <v>257</v>
      </c>
      <c r="AU142" s="69" t="s">
        <v>46</v>
      </c>
      <c r="AV142" s="69" t="s">
        <v>46</v>
      </c>
      <c r="AW142" s="69" t="s">
        <v>46</v>
      </c>
      <c r="AX142" s="69" t="s">
        <v>46</v>
      </c>
      <c r="AY142" s="69" t="s">
        <v>46</v>
      </c>
      <c r="AZ142" s="69" t="s">
        <v>46</v>
      </c>
      <c r="BA142" s="69" t="s">
        <v>46</v>
      </c>
      <c r="BB142" s="69" t="s">
        <v>46</v>
      </c>
      <c r="BC142" s="69" t="s">
        <v>46</v>
      </c>
      <c r="BD142" s="69" t="s">
        <v>46</v>
      </c>
      <c r="BE142" s="69" t="s">
        <v>46</v>
      </c>
      <c r="BF142" s="69" t="s">
        <v>2</v>
      </c>
      <c r="BG142" s="69" t="s">
        <v>2</v>
      </c>
      <c r="BH142" s="69" t="s">
        <v>2</v>
      </c>
      <c r="BI142" s="69" t="s">
        <v>2</v>
      </c>
      <c r="BJ142" s="69" t="s">
        <v>2</v>
      </c>
      <c r="BK142" s="69" t="s">
        <v>2</v>
      </c>
      <c r="BL142" s="69" t="s">
        <v>786</v>
      </c>
      <c r="BM142" s="75" t="s">
        <v>11</v>
      </c>
      <c r="BN142" s="75" t="s">
        <v>2</v>
      </c>
      <c r="BO142" s="72">
        <v>1050</v>
      </c>
      <c r="BP142" s="72">
        <v>1050</v>
      </c>
      <c r="BQ142" s="75" t="s">
        <v>34</v>
      </c>
      <c r="BR142" s="72">
        <f>Table13[[#This Row],[Inhaler carbon footprint per inhaler in v2.37 (gCO2e) ]]-Table13[[#This Row],[Inhaler carbon footprint per inhaler in v2.36 (gCO2e) ]]</f>
        <v>0</v>
      </c>
      <c r="BS142" s="72" t="s">
        <v>809</v>
      </c>
    </row>
    <row r="143" spans="1:71" ht="102.95" customHeight="1" x14ac:dyDescent="0.25">
      <c r="A143" s="69" t="s">
        <v>899</v>
      </c>
      <c r="B143" s="69" t="s">
        <v>215</v>
      </c>
      <c r="C143" s="69" t="s">
        <v>478</v>
      </c>
      <c r="D143" s="69" t="s">
        <v>32</v>
      </c>
      <c r="E143" s="69" t="s">
        <v>92</v>
      </c>
      <c r="F143" s="69" t="s">
        <v>3</v>
      </c>
      <c r="G143" s="69">
        <v>30</v>
      </c>
      <c r="H143" s="70">
        <v>19.2</v>
      </c>
      <c r="I143" s="70">
        <f t="shared" si="7"/>
        <v>0.64</v>
      </c>
      <c r="J143" s="69" t="s">
        <v>7</v>
      </c>
      <c r="K143" s="69" t="s">
        <v>7</v>
      </c>
      <c r="L143" s="69" t="s">
        <v>2</v>
      </c>
      <c r="M143" s="75" t="s">
        <v>8</v>
      </c>
      <c r="N143" s="75" t="s">
        <v>2</v>
      </c>
      <c r="O143" s="75" t="s">
        <v>2</v>
      </c>
      <c r="P143" s="75" t="s">
        <v>2</v>
      </c>
      <c r="Q143" s="75" t="s">
        <v>2</v>
      </c>
      <c r="R143" s="75" t="s">
        <v>2</v>
      </c>
      <c r="S143" s="75" t="s">
        <v>2</v>
      </c>
      <c r="T143" s="75" t="s">
        <v>2</v>
      </c>
      <c r="U143" s="75" t="s">
        <v>2</v>
      </c>
      <c r="V143" s="75" t="s">
        <v>2</v>
      </c>
      <c r="W143" s="75" t="s">
        <v>2</v>
      </c>
      <c r="X143" s="75" t="s">
        <v>2</v>
      </c>
      <c r="Y143" s="75" t="s">
        <v>2</v>
      </c>
      <c r="Z143" s="69" t="s">
        <v>2</v>
      </c>
      <c r="AA143" s="69" t="s">
        <v>725</v>
      </c>
      <c r="AB143" s="69" t="s">
        <v>905</v>
      </c>
      <c r="AC143" s="69" t="s">
        <v>904</v>
      </c>
      <c r="AD143" s="72">
        <v>92</v>
      </c>
      <c r="AE143" s="75" t="s">
        <v>1077</v>
      </c>
      <c r="AF143" s="75" t="s">
        <v>46</v>
      </c>
      <c r="AG143" s="75" t="s">
        <v>46</v>
      </c>
      <c r="AH143" s="75" t="s">
        <v>46</v>
      </c>
      <c r="AI143" s="75" t="s">
        <v>46</v>
      </c>
      <c r="AJ143" s="72" t="str">
        <f>IF(Table13[[#This Row],[Indicative carbon footprint /inhaler (gCO2e) 7,8]]&gt;1796,"High","Low")</f>
        <v>Low</v>
      </c>
      <c r="AK143" s="72" t="s">
        <v>46</v>
      </c>
      <c r="AL143" s="72" t="s">
        <v>46</v>
      </c>
      <c r="AM143" s="70" t="s">
        <v>962</v>
      </c>
      <c r="AN143" s="69" t="s">
        <v>2</v>
      </c>
      <c r="AO143" s="69" t="s">
        <v>2</v>
      </c>
      <c r="AP143" s="69" t="s">
        <v>2</v>
      </c>
      <c r="AQ143" s="69" t="s">
        <v>2</v>
      </c>
      <c r="AR143" s="74" t="s">
        <v>578</v>
      </c>
      <c r="AS143" s="69" t="s">
        <v>34</v>
      </c>
      <c r="AT143" s="69" t="s">
        <v>46</v>
      </c>
      <c r="AU143" s="69" t="s">
        <v>46</v>
      </c>
      <c r="AV143" s="69" t="s">
        <v>46</v>
      </c>
      <c r="AW143" s="69" t="s">
        <v>46</v>
      </c>
      <c r="AX143" s="69" t="s">
        <v>46</v>
      </c>
      <c r="AY143" s="69" t="s">
        <v>46</v>
      </c>
      <c r="AZ143" s="69" t="s">
        <v>46</v>
      </c>
      <c r="BA143" s="69" t="s">
        <v>46</v>
      </c>
      <c r="BB143" s="69" t="s">
        <v>46</v>
      </c>
      <c r="BC143" s="69" t="s">
        <v>46</v>
      </c>
      <c r="BD143" s="69" t="s">
        <v>46</v>
      </c>
      <c r="BE143" s="69" t="s">
        <v>46</v>
      </c>
      <c r="BF143" s="69" t="s">
        <v>2</v>
      </c>
      <c r="BG143" s="69" t="s">
        <v>2</v>
      </c>
      <c r="BH143" s="69" t="s">
        <v>2</v>
      </c>
      <c r="BI143" s="69" t="s">
        <v>2</v>
      </c>
      <c r="BJ143" s="69" t="s">
        <v>2</v>
      </c>
      <c r="BK143" s="69" t="s">
        <v>2</v>
      </c>
      <c r="BL143" s="69" t="s">
        <v>46</v>
      </c>
      <c r="BM143" s="75" t="s">
        <v>843</v>
      </c>
      <c r="BN143" s="75" t="s">
        <v>2</v>
      </c>
      <c r="BO143" s="72">
        <v>562.5</v>
      </c>
      <c r="BP143" s="72">
        <v>92</v>
      </c>
      <c r="BQ143" s="75" t="s">
        <v>11</v>
      </c>
      <c r="BR143" s="72">
        <f>Table13[[#This Row],[Inhaler carbon footprint per inhaler in v2.37 (gCO2e) ]]-Table13[[#This Row],[Inhaler carbon footprint per inhaler in v2.36 (gCO2e) ]]</f>
        <v>-470.5</v>
      </c>
      <c r="BS143" s="72">
        <f>Table13[[#This Row],[Inhaler carbon footprint per inhaler in v2.37 (gCO2e) ]]-Table13[[#This Row],[Inhaler carbon footprint per inhaler in v2.36 (gCO2e) ]]</f>
        <v>-470.5</v>
      </c>
    </row>
    <row r="144" spans="1:71" ht="140.44999999999999" customHeight="1" x14ac:dyDescent="0.25">
      <c r="A144" s="69" t="s">
        <v>899</v>
      </c>
      <c r="B144" s="69" t="s">
        <v>215</v>
      </c>
      <c r="C144" s="69" t="s">
        <v>478</v>
      </c>
      <c r="D144" s="69" t="s">
        <v>32</v>
      </c>
      <c r="E144" s="69" t="s">
        <v>92</v>
      </c>
      <c r="F144" s="69" t="s">
        <v>3</v>
      </c>
      <c r="G144" s="69">
        <v>60</v>
      </c>
      <c r="H144" s="70">
        <v>38.4</v>
      </c>
      <c r="I144" s="70">
        <f t="shared" si="7"/>
        <v>0.64</v>
      </c>
      <c r="J144" s="69" t="s">
        <v>7</v>
      </c>
      <c r="K144" s="69" t="s">
        <v>7</v>
      </c>
      <c r="L144" s="69" t="s">
        <v>2</v>
      </c>
      <c r="M144" s="75" t="s">
        <v>8</v>
      </c>
      <c r="N144" s="75" t="s">
        <v>2</v>
      </c>
      <c r="O144" s="75" t="s">
        <v>2</v>
      </c>
      <c r="P144" s="75" t="s">
        <v>2</v>
      </c>
      <c r="Q144" s="75" t="s">
        <v>2</v>
      </c>
      <c r="R144" s="75" t="s">
        <v>2</v>
      </c>
      <c r="S144" s="75" t="s">
        <v>2</v>
      </c>
      <c r="T144" s="75" t="s">
        <v>2</v>
      </c>
      <c r="U144" s="75" t="s">
        <v>2</v>
      </c>
      <c r="V144" s="75" t="s">
        <v>2</v>
      </c>
      <c r="W144" s="75" t="s">
        <v>2</v>
      </c>
      <c r="X144" s="75" t="s">
        <v>2</v>
      </c>
      <c r="Y144" s="75" t="s">
        <v>2</v>
      </c>
      <c r="Z144" s="69" t="s">
        <v>2</v>
      </c>
      <c r="AA144" s="69" t="s">
        <v>725</v>
      </c>
      <c r="AB144" s="69" t="s">
        <v>905</v>
      </c>
      <c r="AC144" s="69" t="s">
        <v>904</v>
      </c>
      <c r="AD144" s="72">
        <v>92</v>
      </c>
      <c r="AE144" s="75" t="s">
        <v>1077</v>
      </c>
      <c r="AF144" s="75" t="s">
        <v>46</v>
      </c>
      <c r="AG144" s="75" t="s">
        <v>46</v>
      </c>
      <c r="AH144" s="75" t="s">
        <v>46</v>
      </c>
      <c r="AI144" s="75" t="s">
        <v>46</v>
      </c>
      <c r="AJ144" s="72" t="str">
        <f>IF(Table13[[#This Row],[Indicative carbon footprint /inhaler (gCO2e) 7,8]]&gt;1796,"High","Low")</f>
        <v>Low</v>
      </c>
      <c r="AK144" s="72" t="s">
        <v>46</v>
      </c>
      <c r="AL144" s="72" t="s">
        <v>46</v>
      </c>
      <c r="AM144" s="70" t="s">
        <v>898</v>
      </c>
      <c r="AN144" s="69" t="s">
        <v>2</v>
      </c>
      <c r="AO144" s="69" t="s">
        <v>2</v>
      </c>
      <c r="AP144" s="69" t="s">
        <v>2</v>
      </c>
      <c r="AQ144" s="69" t="s">
        <v>2</v>
      </c>
      <c r="AR144" s="74" t="s">
        <v>900</v>
      </c>
      <c r="AS144" s="69" t="s">
        <v>34</v>
      </c>
      <c r="AT144" s="69" t="s">
        <v>46</v>
      </c>
      <c r="AU144" s="69" t="s">
        <v>46</v>
      </c>
      <c r="AV144" s="69" t="s">
        <v>46</v>
      </c>
      <c r="AW144" s="69" t="s">
        <v>46</v>
      </c>
      <c r="AX144" s="69" t="s">
        <v>46</v>
      </c>
      <c r="AY144" s="69" t="s">
        <v>46</v>
      </c>
      <c r="AZ144" s="69" t="s">
        <v>46</v>
      </c>
      <c r="BA144" s="69" t="s">
        <v>46</v>
      </c>
      <c r="BB144" s="69" t="s">
        <v>46</v>
      </c>
      <c r="BC144" s="69" t="s">
        <v>46</v>
      </c>
      <c r="BD144" s="69" t="s">
        <v>46</v>
      </c>
      <c r="BE144" s="69" t="s">
        <v>46</v>
      </c>
      <c r="BF144" s="69" t="s">
        <v>2</v>
      </c>
      <c r="BG144" s="69" t="s">
        <v>2</v>
      </c>
      <c r="BH144" s="69" t="s">
        <v>2</v>
      </c>
      <c r="BI144" s="69" t="s">
        <v>2</v>
      </c>
      <c r="BJ144" s="69" t="s">
        <v>2</v>
      </c>
      <c r="BK144" s="69" t="s">
        <v>2</v>
      </c>
      <c r="BL144" s="69" t="s">
        <v>46</v>
      </c>
      <c r="BM144" s="75" t="s">
        <v>843</v>
      </c>
      <c r="BN144" s="75" t="s">
        <v>2</v>
      </c>
      <c r="BO144" s="72">
        <v>562.5</v>
      </c>
      <c r="BP144" s="72">
        <v>92</v>
      </c>
      <c r="BQ144" s="75" t="s">
        <v>11</v>
      </c>
      <c r="BR144" s="72">
        <f>Table13[[#This Row],[Inhaler carbon footprint per inhaler in v2.37 (gCO2e) ]]-Table13[[#This Row],[Inhaler carbon footprint per inhaler in v2.36 (gCO2e) ]]</f>
        <v>-470.5</v>
      </c>
      <c r="BS144" s="72">
        <f>Table13[[#This Row],[Inhaler carbon footprint per inhaler in v2.37 (gCO2e) ]]-Table13[[#This Row],[Inhaler carbon footprint per inhaler in v2.36 (gCO2e) ]]</f>
        <v>-470.5</v>
      </c>
    </row>
    <row r="145" spans="1:71" ht="119.45" customHeight="1" x14ac:dyDescent="0.25">
      <c r="A145" s="69" t="s">
        <v>901</v>
      </c>
      <c r="B145" s="69" t="s">
        <v>215</v>
      </c>
      <c r="C145" s="69" t="s">
        <v>410</v>
      </c>
      <c r="D145" s="69" t="s">
        <v>32</v>
      </c>
      <c r="E145" s="69" t="s">
        <v>92</v>
      </c>
      <c r="F145" s="69" t="s">
        <v>3</v>
      </c>
      <c r="G145" s="69">
        <v>30</v>
      </c>
      <c r="H145" s="70">
        <v>19.989999999999998</v>
      </c>
      <c r="I145" s="70">
        <f t="shared" si="7"/>
        <v>0.66633333333333333</v>
      </c>
      <c r="J145" s="69" t="s">
        <v>7</v>
      </c>
      <c r="K145" s="69" t="s">
        <v>7</v>
      </c>
      <c r="L145" s="69" t="s">
        <v>2</v>
      </c>
      <c r="M145" s="75" t="s">
        <v>8</v>
      </c>
      <c r="N145" s="75" t="s">
        <v>2</v>
      </c>
      <c r="O145" s="75" t="s">
        <v>2</v>
      </c>
      <c r="P145" s="75" t="s">
        <v>2</v>
      </c>
      <c r="Q145" s="75" t="s">
        <v>2</v>
      </c>
      <c r="R145" s="75" t="s">
        <v>2</v>
      </c>
      <c r="S145" s="75" t="s">
        <v>2</v>
      </c>
      <c r="T145" s="75" t="s">
        <v>2</v>
      </c>
      <c r="U145" s="75" t="s">
        <v>2</v>
      </c>
      <c r="V145" s="75" t="s">
        <v>2</v>
      </c>
      <c r="W145" s="75" t="s">
        <v>2</v>
      </c>
      <c r="X145" s="75" t="s">
        <v>2</v>
      </c>
      <c r="Y145" s="75" t="s">
        <v>2</v>
      </c>
      <c r="Z145" s="69" t="s">
        <v>2</v>
      </c>
      <c r="AA145" s="69" t="s">
        <v>725</v>
      </c>
      <c r="AB145" s="69" t="s">
        <v>905</v>
      </c>
      <c r="AC145" s="69" t="s">
        <v>904</v>
      </c>
      <c r="AD145" s="72">
        <v>282</v>
      </c>
      <c r="AE145" s="75" t="s">
        <v>1077</v>
      </c>
      <c r="AF145" s="75" t="s">
        <v>46</v>
      </c>
      <c r="AG145" s="75" t="s">
        <v>46</v>
      </c>
      <c r="AH145" s="75" t="s">
        <v>46</v>
      </c>
      <c r="AI145" s="75" t="s">
        <v>46</v>
      </c>
      <c r="AJ145" s="72" t="str">
        <f>IF(Table13[[#This Row],[Indicative carbon footprint /inhaler (gCO2e) 7,8]]&gt;1796,"High","Low")</f>
        <v>Low</v>
      </c>
      <c r="AK145" s="72" t="s">
        <v>46</v>
      </c>
      <c r="AL145" s="72" t="s">
        <v>46</v>
      </c>
      <c r="AM145" s="70" t="s">
        <v>898</v>
      </c>
      <c r="AN145" s="69" t="s">
        <v>2</v>
      </c>
      <c r="AO145" s="69" t="s">
        <v>2</v>
      </c>
      <c r="AP145" s="69" t="s">
        <v>2</v>
      </c>
      <c r="AQ145" s="69" t="s">
        <v>2</v>
      </c>
      <c r="AR145" s="74" t="s">
        <v>278</v>
      </c>
      <c r="AS145" s="69" t="s">
        <v>34</v>
      </c>
      <c r="AT145" s="69" t="s">
        <v>46</v>
      </c>
      <c r="AU145" s="69" t="s">
        <v>46</v>
      </c>
      <c r="AV145" s="69" t="s">
        <v>46</v>
      </c>
      <c r="AW145" s="69" t="s">
        <v>46</v>
      </c>
      <c r="AX145" s="69" t="s">
        <v>46</v>
      </c>
      <c r="AY145" s="69" t="s">
        <v>46</v>
      </c>
      <c r="AZ145" s="69" t="s">
        <v>46</v>
      </c>
      <c r="BA145" s="69" t="s">
        <v>46</v>
      </c>
      <c r="BB145" s="69" t="s">
        <v>46</v>
      </c>
      <c r="BC145" s="69" t="s">
        <v>46</v>
      </c>
      <c r="BD145" s="69" t="s">
        <v>46</v>
      </c>
      <c r="BE145" s="69" t="s">
        <v>46</v>
      </c>
      <c r="BF145" s="69" t="s">
        <v>2</v>
      </c>
      <c r="BG145" s="69" t="s">
        <v>2</v>
      </c>
      <c r="BH145" s="69" t="s">
        <v>2</v>
      </c>
      <c r="BI145" s="69" t="s">
        <v>2</v>
      </c>
      <c r="BJ145" s="69" t="s">
        <v>2</v>
      </c>
      <c r="BK145" s="69" t="s">
        <v>2</v>
      </c>
      <c r="BL145" s="69" t="s">
        <v>46</v>
      </c>
      <c r="BM145" s="75" t="s">
        <v>843</v>
      </c>
      <c r="BN145" s="75" t="s">
        <v>2</v>
      </c>
      <c r="BO145" s="72" t="s">
        <v>996</v>
      </c>
      <c r="BP145" s="72">
        <v>282</v>
      </c>
      <c r="BQ145" s="75" t="s">
        <v>11</v>
      </c>
      <c r="BR145" s="72">
        <f>Table13[[#This Row],[Inhaler carbon footprint per inhaler in v2.37 (gCO2e) ]]-Table13[[#This Row],[Inhaler carbon footprint per inhaler in v2.36 (gCO2e) ]]</f>
        <v>-280.5</v>
      </c>
      <c r="BS145" s="72">
        <f>Table13[[#This Row],[Inhaler carbon footprint per inhaler in v2.37 (gCO2e) ]]-Table13[[#This Row],[Inhaler carbon footprint per inhaler in v2.36 (gCO2e) ]]</f>
        <v>-280.5</v>
      </c>
    </row>
    <row r="146" spans="1:71" ht="145.5" customHeight="1" x14ac:dyDescent="0.25">
      <c r="A146" s="69" t="s">
        <v>246</v>
      </c>
      <c r="B146" s="69" t="s">
        <v>30</v>
      </c>
      <c r="C146" s="69" t="s">
        <v>413</v>
      </c>
      <c r="D146" s="69" t="s">
        <v>32</v>
      </c>
      <c r="E146" s="69" t="s">
        <v>95</v>
      </c>
      <c r="F146" s="69" t="s">
        <v>3</v>
      </c>
      <c r="G146" s="69">
        <v>30</v>
      </c>
      <c r="H146" s="70">
        <v>44.5</v>
      </c>
      <c r="I146" s="70">
        <f t="shared" si="7"/>
        <v>1.4833333333333334</v>
      </c>
      <c r="J146" s="69" t="s">
        <v>7</v>
      </c>
      <c r="K146" s="69" t="s">
        <v>7</v>
      </c>
      <c r="L146" s="69" t="s">
        <v>2</v>
      </c>
      <c r="M146" s="75" t="s">
        <v>8</v>
      </c>
      <c r="N146" s="75" t="s">
        <v>2</v>
      </c>
      <c r="O146" s="75" t="s">
        <v>2</v>
      </c>
      <c r="P146" s="75" t="s">
        <v>2</v>
      </c>
      <c r="Q146" s="75" t="s">
        <v>2</v>
      </c>
      <c r="R146" s="75" t="s">
        <v>2</v>
      </c>
      <c r="S146" s="75" t="s">
        <v>2</v>
      </c>
      <c r="T146" s="75" t="s">
        <v>2</v>
      </c>
      <c r="U146" s="75" t="s">
        <v>2</v>
      </c>
      <c r="V146" s="75" t="s">
        <v>2</v>
      </c>
      <c r="W146" s="75" t="s">
        <v>2</v>
      </c>
      <c r="X146" s="75" t="s">
        <v>2</v>
      </c>
      <c r="Y146" s="75" t="s">
        <v>721</v>
      </c>
      <c r="Z146" s="69" t="s">
        <v>79</v>
      </c>
      <c r="AA146" s="69" t="s">
        <v>714</v>
      </c>
      <c r="AB146" s="69" t="s">
        <v>934</v>
      </c>
      <c r="AC146" s="69" t="s">
        <v>933</v>
      </c>
      <c r="AD146" s="72">
        <v>765</v>
      </c>
      <c r="AE146" s="75" t="s">
        <v>9</v>
      </c>
      <c r="AF146" s="75" t="s">
        <v>46</v>
      </c>
      <c r="AG146" s="75" t="s">
        <v>46</v>
      </c>
      <c r="AH146" s="75" t="s">
        <v>46</v>
      </c>
      <c r="AI146" s="75" t="s">
        <v>46</v>
      </c>
      <c r="AJ146" s="72" t="str">
        <f>IF(Table13[[#This Row],[Indicative carbon footprint /inhaler (gCO2e) 7,8]]&gt;1796,"High","Low")</f>
        <v>Low</v>
      </c>
      <c r="AK146" s="72" t="s">
        <v>587</v>
      </c>
      <c r="AL146" s="72" t="s">
        <v>46</v>
      </c>
      <c r="AM146" s="69"/>
      <c r="AN146" s="69" t="s">
        <v>2</v>
      </c>
      <c r="AO146" s="69" t="s">
        <v>2</v>
      </c>
      <c r="AP146" s="69" t="s">
        <v>2</v>
      </c>
      <c r="AQ146" s="69" t="s">
        <v>2</v>
      </c>
      <c r="AR146" s="74" t="s">
        <v>247</v>
      </c>
      <c r="AS146" s="69" t="s">
        <v>34</v>
      </c>
      <c r="AT146" s="69" t="s">
        <v>35</v>
      </c>
      <c r="AU146" s="69">
        <v>28</v>
      </c>
      <c r="AV146" s="69">
        <v>235</v>
      </c>
      <c r="AW146" s="69" t="s">
        <v>422</v>
      </c>
      <c r="AX146" s="69" t="s">
        <v>272</v>
      </c>
      <c r="AY146" s="69">
        <v>359</v>
      </c>
      <c r="AZ146" s="69" t="s">
        <v>423</v>
      </c>
      <c r="BA146" s="69" t="s">
        <v>423</v>
      </c>
      <c r="BB146" s="69">
        <v>29</v>
      </c>
      <c r="BC146" s="69">
        <v>62</v>
      </c>
      <c r="BD146" s="69">
        <v>52</v>
      </c>
      <c r="BE146" s="69" t="s">
        <v>46</v>
      </c>
      <c r="BF146" s="69" t="s">
        <v>2</v>
      </c>
      <c r="BG146" s="69" t="s">
        <v>2</v>
      </c>
      <c r="BH146" s="69" t="s">
        <v>2</v>
      </c>
      <c r="BI146" s="69" t="s">
        <v>2</v>
      </c>
      <c r="BJ146" s="69" t="s">
        <v>2</v>
      </c>
      <c r="BK146" s="69" t="s">
        <v>2</v>
      </c>
      <c r="BL146" s="69" t="s">
        <v>585</v>
      </c>
      <c r="BM146" s="75" t="s">
        <v>843</v>
      </c>
      <c r="BN146" s="75" t="s">
        <v>2</v>
      </c>
      <c r="BO146" s="72" t="s">
        <v>1000</v>
      </c>
      <c r="BP146" s="72">
        <v>765</v>
      </c>
      <c r="BQ146" s="75" t="s">
        <v>34</v>
      </c>
      <c r="BR146" s="72">
        <f>Table13[[#This Row],[Inhaler carbon footprint per inhaler in v2.37 (gCO2e) ]]-Table13[[#This Row],[Inhaler carbon footprint per inhaler in v2.36 (gCO2e) ]]</f>
        <v>0</v>
      </c>
      <c r="BS146" s="72" t="s">
        <v>809</v>
      </c>
    </row>
    <row r="147" spans="1:71" ht="99.95" customHeight="1" x14ac:dyDescent="0.25">
      <c r="A147" s="69" t="s">
        <v>618</v>
      </c>
      <c r="B147" s="69" t="s">
        <v>43</v>
      </c>
      <c r="C147" s="69" t="s">
        <v>619</v>
      </c>
      <c r="D147" s="69" t="s">
        <v>12</v>
      </c>
      <c r="E147" s="69" t="s">
        <v>95</v>
      </c>
      <c r="F147" s="69" t="s">
        <v>13</v>
      </c>
      <c r="G147" s="69">
        <v>120</v>
      </c>
      <c r="H147" s="70">
        <v>44.5</v>
      </c>
      <c r="I147" s="70">
        <f t="shared" si="7"/>
        <v>0.37083333333333335</v>
      </c>
      <c r="J147" s="69" t="s">
        <v>7</v>
      </c>
      <c r="K147" s="69" t="s">
        <v>7</v>
      </c>
      <c r="L147" s="69" t="s">
        <v>8</v>
      </c>
      <c r="M147" s="75" t="s">
        <v>8</v>
      </c>
      <c r="N147" s="69" t="s">
        <v>2</v>
      </c>
      <c r="O147" s="75" t="s">
        <v>2</v>
      </c>
      <c r="P147" s="75" t="s">
        <v>2</v>
      </c>
      <c r="Q147" s="75" t="s">
        <v>2</v>
      </c>
      <c r="R147" s="75" t="s">
        <v>2</v>
      </c>
      <c r="S147" s="75" t="s">
        <v>2</v>
      </c>
      <c r="T147" s="75" t="s">
        <v>699</v>
      </c>
      <c r="U147" s="75" t="s">
        <v>2</v>
      </c>
      <c r="V147" s="75" t="s">
        <v>2</v>
      </c>
      <c r="W147" s="75" t="s">
        <v>2</v>
      </c>
      <c r="X147" s="75" t="s">
        <v>2</v>
      </c>
      <c r="Y147" s="75" t="s">
        <v>717</v>
      </c>
      <c r="Z147" s="69" t="s">
        <v>79</v>
      </c>
      <c r="AA147" s="69" t="s">
        <v>1066</v>
      </c>
      <c r="AB147" s="69" t="s">
        <v>816</v>
      </c>
      <c r="AC147" s="69" t="s">
        <v>1089</v>
      </c>
      <c r="AD147" s="72">
        <f>Table13[[#This Row],[Carbon footprint per inhaler attributed to propellant PrescQIPP calculated as gCO2e (from PIL or as assigned in the methodology)11-13]]</f>
        <v>14806.22</v>
      </c>
      <c r="AE147" s="75" t="s">
        <v>530</v>
      </c>
      <c r="AF147" s="75" t="s">
        <v>11</v>
      </c>
      <c r="AG147" s="75" t="s">
        <v>46</v>
      </c>
      <c r="AH147" s="75" t="s">
        <v>46</v>
      </c>
      <c r="AI147" s="75" t="s">
        <v>46</v>
      </c>
      <c r="AJ147" s="72" t="str">
        <f>IF(Table13[[#This Row],[Indicative carbon footprint /inhaler (gCO2e) 7,8]]&gt;1796,"High","Low")</f>
        <v>High</v>
      </c>
      <c r="AK147" s="72" t="s">
        <v>587</v>
      </c>
      <c r="AL147" s="93" t="s">
        <v>1081</v>
      </c>
      <c r="AM147" s="69" t="s">
        <v>1092</v>
      </c>
      <c r="AN147" s="69" t="s">
        <v>177</v>
      </c>
      <c r="AO147" s="69">
        <v>10.353999999999999</v>
      </c>
      <c r="AP147" s="69">
        <v>1.4999999999999999E-2</v>
      </c>
      <c r="AQ147" s="72">
        <f>1430*Table13[[#This Row],[Amount of propellant per inhaler (from PIL) (g)12-13]]</f>
        <v>14806.22</v>
      </c>
      <c r="AR147" s="74" t="s">
        <v>620</v>
      </c>
      <c r="AS147" s="69" t="s">
        <v>34</v>
      </c>
      <c r="AT147" s="69" t="s">
        <v>66</v>
      </c>
      <c r="AU147" s="95">
        <v>198</v>
      </c>
      <c r="AV147" s="95">
        <v>114</v>
      </c>
      <c r="AW147" s="95">
        <v>141.6</v>
      </c>
      <c r="AX147" s="95">
        <v>15.6</v>
      </c>
      <c r="AY147" s="95">
        <v>163.19999999999999</v>
      </c>
      <c r="AZ147" s="95">
        <v>1.2</v>
      </c>
      <c r="BA147" s="95">
        <v>196.8</v>
      </c>
      <c r="BB147" s="95">
        <v>43.2</v>
      </c>
      <c r="BC147" s="95">
        <v>10104</v>
      </c>
      <c r="BD147" s="95">
        <v>3205.2</v>
      </c>
      <c r="BE147" s="69" t="s">
        <v>46</v>
      </c>
      <c r="BF147" s="69" t="s">
        <v>11</v>
      </c>
      <c r="BG147" s="98" t="s">
        <v>1056</v>
      </c>
      <c r="BH147" s="98" t="s">
        <v>811</v>
      </c>
      <c r="BI147" s="69" t="s">
        <v>11</v>
      </c>
      <c r="BJ147" s="99" t="s">
        <v>812</v>
      </c>
      <c r="BK147" s="98" t="s">
        <v>46</v>
      </c>
      <c r="BL147" s="69" t="s">
        <v>810</v>
      </c>
      <c r="BM147" s="75" t="s">
        <v>11</v>
      </c>
      <c r="BN147" s="75" t="s">
        <v>877</v>
      </c>
      <c r="BO147" s="72" t="s">
        <v>1001</v>
      </c>
      <c r="BP147" s="72">
        <v>14806.22</v>
      </c>
      <c r="BQ147" s="75" t="s">
        <v>11</v>
      </c>
      <c r="BR147" s="72">
        <f>Table13[[#This Row],[Inhaler carbon footprint per inhaler in v2.37 (gCO2e) ]]-Table13[[#This Row],[Inhaler carbon footprint per inhaler in v2.36 (gCO2e) ]]</f>
        <v>623.42000000000007</v>
      </c>
      <c r="BS147" s="72" t="s">
        <v>1010</v>
      </c>
    </row>
    <row r="148" spans="1:71" ht="95.45" customHeight="1" x14ac:dyDescent="0.25">
      <c r="A148" s="69" t="s">
        <v>414</v>
      </c>
      <c r="B148" s="69" t="s">
        <v>43</v>
      </c>
      <c r="C148" s="69" t="s">
        <v>412</v>
      </c>
      <c r="D148" s="69" t="s">
        <v>5</v>
      </c>
      <c r="E148" s="69" t="s">
        <v>95</v>
      </c>
      <c r="F148" s="69" t="s">
        <v>13</v>
      </c>
      <c r="G148" s="69">
        <v>120</v>
      </c>
      <c r="H148" s="70">
        <v>44.5</v>
      </c>
      <c r="I148" s="70">
        <f t="shared" si="7"/>
        <v>0.37083333333333335</v>
      </c>
      <c r="J148" s="69" t="s">
        <v>7</v>
      </c>
      <c r="K148" s="69" t="s">
        <v>7</v>
      </c>
      <c r="L148" s="69" t="s">
        <v>8</v>
      </c>
      <c r="M148" s="75" t="s">
        <v>8</v>
      </c>
      <c r="N148" s="69" t="s">
        <v>2</v>
      </c>
      <c r="O148" s="75" t="s">
        <v>2</v>
      </c>
      <c r="P148" s="75" t="s">
        <v>2</v>
      </c>
      <c r="Q148" s="75" t="s">
        <v>2</v>
      </c>
      <c r="R148" s="75" t="s">
        <v>2</v>
      </c>
      <c r="S148" s="75" t="s">
        <v>699</v>
      </c>
      <c r="T148" s="75" t="s">
        <v>2</v>
      </c>
      <c r="U148" s="75" t="s">
        <v>2</v>
      </c>
      <c r="V148" s="75" t="s">
        <v>2</v>
      </c>
      <c r="W148" s="75" t="s">
        <v>2</v>
      </c>
      <c r="X148" s="75" t="s">
        <v>2</v>
      </c>
      <c r="Y148" s="75" t="s">
        <v>717</v>
      </c>
      <c r="Z148" s="69" t="s">
        <v>79</v>
      </c>
      <c r="AA148" s="69" t="s">
        <v>817</v>
      </c>
      <c r="AB148" s="69" t="s">
        <v>1094</v>
      </c>
      <c r="AC148" s="69" t="s">
        <v>1090</v>
      </c>
      <c r="AD148" s="72">
        <f>Table13[[#This Row],[Carbon footprint per inhaler attributed to propellant PrescQIPP calculated as gCO2e (from PIL or as assigned in the methodology)11-13]]</f>
        <v>14829.099999999999</v>
      </c>
      <c r="AE148" s="75" t="s">
        <v>530</v>
      </c>
      <c r="AF148" s="75" t="s">
        <v>11</v>
      </c>
      <c r="AG148" s="75" t="s">
        <v>46</v>
      </c>
      <c r="AH148" s="75" t="s">
        <v>46</v>
      </c>
      <c r="AI148" s="75" t="s">
        <v>46</v>
      </c>
      <c r="AJ148" s="72" t="str">
        <f>IF(Table13[[#This Row],[Indicative carbon footprint /inhaler (gCO2e) 7,8]]&gt;1796,"High","Low")</f>
        <v>High</v>
      </c>
      <c r="AK148" s="72" t="s">
        <v>587</v>
      </c>
      <c r="AL148" s="93" t="s">
        <v>1081</v>
      </c>
      <c r="AM148" s="69" t="s">
        <v>1093</v>
      </c>
      <c r="AN148" s="69" t="s">
        <v>177</v>
      </c>
      <c r="AO148" s="69">
        <v>10.37</v>
      </c>
      <c r="AP148" s="69">
        <v>1.4999999999999999E-2</v>
      </c>
      <c r="AQ148" s="72">
        <f>Table13[[#This Row],[Amount of propellant per inhaler (from PIL) (g)12-13]]*1430</f>
        <v>14829.099999999999</v>
      </c>
      <c r="AR148" s="74" t="s">
        <v>248</v>
      </c>
      <c r="AS148" s="69" t="s">
        <v>34</v>
      </c>
      <c r="AT148" s="69" t="s">
        <v>66</v>
      </c>
      <c r="AU148" s="82">
        <f>1.64*Table13[[#This Row],[Doses per inhaler1,2]]</f>
        <v>196.79999999999998</v>
      </c>
      <c r="AV148" s="82">
        <f>0.95*Table13[[#This Row],[Doses per inhaler1,2]]</f>
        <v>114</v>
      </c>
      <c r="AW148" s="69">
        <f>1.18*Table13[[#This Row],[Doses per inhaler1,2]]</f>
        <v>141.6</v>
      </c>
      <c r="AX148" s="82">
        <f>0.13*Table13[[#This Row],[Doses per inhaler1,2]]</f>
        <v>15.600000000000001</v>
      </c>
      <c r="AY148" s="69">
        <f>1.36*Table13[[#This Row],[Doses per inhaler1,2]]</f>
        <v>163.20000000000002</v>
      </c>
      <c r="AZ148" s="69">
        <f>0.01*Table13[[#This Row],[Doses per inhaler1,2]]</f>
        <v>1.2</v>
      </c>
      <c r="BA148" s="82">
        <f>1.63*Table13[[#This Row],[Doses per inhaler1,2]]</f>
        <v>195.6</v>
      </c>
      <c r="BB148" s="82">
        <f>0.36*Table13[[#This Row],[Doses per inhaler1,2]]</f>
        <v>43.199999999999996</v>
      </c>
      <c r="BC148" s="82">
        <f>84.33*Table13[[#This Row],[Doses per inhaler1,2]]</f>
        <v>10119.6</v>
      </c>
      <c r="BD148" s="82">
        <f>26.76*Table13[[#This Row],[Doses per inhaler1,2]]</f>
        <v>3211.2000000000003</v>
      </c>
      <c r="BE148" s="69" t="s">
        <v>46</v>
      </c>
      <c r="BF148" s="69" t="s">
        <v>11</v>
      </c>
      <c r="BG148" s="98" t="s">
        <v>1056</v>
      </c>
      <c r="BH148" s="98" t="s">
        <v>811</v>
      </c>
      <c r="BI148" s="69" t="s">
        <v>11</v>
      </c>
      <c r="BJ148" s="99" t="s">
        <v>812</v>
      </c>
      <c r="BK148" s="98" t="s">
        <v>46</v>
      </c>
      <c r="BL148" s="69" t="s">
        <v>810</v>
      </c>
      <c r="BM148" s="75" t="s">
        <v>11</v>
      </c>
      <c r="BN148" s="75" t="s">
        <v>877</v>
      </c>
      <c r="BO148" s="72" t="s">
        <v>1002</v>
      </c>
      <c r="BP148" s="72">
        <v>14829.099999999999</v>
      </c>
      <c r="BQ148" s="75" t="s">
        <v>11</v>
      </c>
      <c r="BR148" s="72">
        <f>Table13[[#This Row],[Inhaler carbon footprint per inhaler in v2.37 (gCO2e) ]]-Table13[[#This Row],[Inhaler carbon footprint per inhaler in v2.36 (gCO2e) ]]</f>
        <v>625.89999999999782</v>
      </c>
      <c r="BS148" s="72" t="s">
        <v>1010</v>
      </c>
    </row>
    <row r="149" spans="1:71" ht="99" customHeight="1" x14ac:dyDescent="0.25">
      <c r="A149" s="69" t="s">
        <v>479</v>
      </c>
      <c r="B149" s="69" t="s">
        <v>43</v>
      </c>
      <c r="C149" s="69" t="s">
        <v>480</v>
      </c>
      <c r="D149" s="69" t="s">
        <v>32</v>
      </c>
      <c r="E149" s="69" t="s">
        <v>95</v>
      </c>
      <c r="F149" s="69" t="s">
        <v>3</v>
      </c>
      <c r="G149" s="69">
        <v>120</v>
      </c>
      <c r="H149" s="70">
        <v>44.5</v>
      </c>
      <c r="I149" s="70">
        <f t="shared" si="7"/>
        <v>0.37083333333333335</v>
      </c>
      <c r="J149" s="69" t="s">
        <v>7</v>
      </c>
      <c r="K149" s="69" t="s">
        <v>7</v>
      </c>
      <c r="L149" s="69" t="s">
        <v>2</v>
      </c>
      <c r="M149" s="75" t="s">
        <v>8</v>
      </c>
      <c r="N149" s="75" t="s">
        <v>2</v>
      </c>
      <c r="O149" s="75" t="s">
        <v>2</v>
      </c>
      <c r="P149" s="75" t="s">
        <v>2</v>
      </c>
      <c r="Q149" s="75" t="s">
        <v>2</v>
      </c>
      <c r="R149" s="75" t="s">
        <v>2</v>
      </c>
      <c r="S149" s="75" t="s">
        <v>2</v>
      </c>
      <c r="T149" s="75" t="s">
        <v>2</v>
      </c>
      <c r="U149" s="75" t="s">
        <v>2</v>
      </c>
      <c r="V149" s="75" t="s">
        <v>2</v>
      </c>
      <c r="W149" s="75" t="s">
        <v>2</v>
      </c>
      <c r="X149" s="75" t="s">
        <v>2</v>
      </c>
      <c r="Y149" s="75" t="s">
        <v>717</v>
      </c>
      <c r="Z149" s="69" t="s">
        <v>79</v>
      </c>
      <c r="AA149" s="69" t="s">
        <v>818</v>
      </c>
      <c r="AB149" s="69" t="s">
        <v>819</v>
      </c>
      <c r="AC149" s="69" t="s">
        <v>1095</v>
      </c>
      <c r="AD149" s="72">
        <v>889.2</v>
      </c>
      <c r="AE149" s="75" t="s">
        <v>9</v>
      </c>
      <c r="AF149" s="75" t="s">
        <v>11</v>
      </c>
      <c r="AG149" s="75" t="s">
        <v>46</v>
      </c>
      <c r="AH149" s="75" t="s">
        <v>46</v>
      </c>
      <c r="AI149" s="75" t="s">
        <v>46</v>
      </c>
      <c r="AJ149" s="72" t="str">
        <f>IF(Table13[[#This Row],[Indicative carbon footprint /inhaler (gCO2e) 7,8]]&gt;1796,"High","Low")</f>
        <v>Low</v>
      </c>
      <c r="AK149" s="72" t="s">
        <v>587</v>
      </c>
      <c r="AL149" s="93" t="s">
        <v>1081</v>
      </c>
      <c r="AM149" s="99" t="s">
        <v>820</v>
      </c>
      <c r="AN149" s="69" t="s">
        <v>2</v>
      </c>
      <c r="AO149" s="69" t="s">
        <v>2</v>
      </c>
      <c r="AP149" s="69" t="s">
        <v>2</v>
      </c>
      <c r="AQ149" s="69" t="s">
        <v>2</v>
      </c>
      <c r="AR149" s="74" t="s">
        <v>545</v>
      </c>
      <c r="AS149" s="69" t="s">
        <v>34</v>
      </c>
      <c r="AT149" s="69" t="s">
        <v>66</v>
      </c>
      <c r="AU149" s="95">
        <v>2.4</v>
      </c>
      <c r="AV149" s="95">
        <v>193.2</v>
      </c>
      <c r="AW149" s="95">
        <v>337.2</v>
      </c>
      <c r="AX149" s="95">
        <v>16.8</v>
      </c>
      <c r="AY149" s="95">
        <v>213.6</v>
      </c>
      <c r="AZ149" s="95">
        <v>1.2</v>
      </c>
      <c r="BA149" s="95">
        <v>0</v>
      </c>
      <c r="BB149" s="95">
        <v>39.6</v>
      </c>
      <c r="BC149" s="95">
        <v>0</v>
      </c>
      <c r="BD149" s="95">
        <v>85.2</v>
      </c>
      <c r="BE149" s="69" t="s">
        <v>46</v>
      </c>
      <c r="BF149" s="69" t="s">
        <v>2</v>
      </c>
      <c r="BG149" s="69" t="s">
        <v>2</v>
      </c>
      <c r="BH149" s="69" t="s">
        <v>2</v>
      </c>
      <c r="BI149" s="69" t="s">
        <v>2</v>
      </c>
      <c r="BJ149" s="69" t="s">
        <v>2</v>
      </c>
      <c r="BK149" s="69" t="s">
        <v>2</v>
      </c>
      <c r="BL149" s="69" t="s">
        <v>810</v>
      </c>
      <c r="BM149" s="75" t="s">
        <v>11</v>
      </c>
      <c r="BN149" s="75" t="s">
        <v>2</v>
      </c>
      <c r="BO149" s="72" t="s">
        <v>1003</v>
      </c>
      <c r="BP149" s="72">
        <v>889.2</v>
      </c>
      <c r="BQ149" s="75" t="s">
        <v>34</v>
      </c>
      <c r="BR149" s="72">
        <f>Table13[[#This Row],[Inhaler carbon footprint per inhaler in v2.37 (gCO2e) ]]-Table13[[#This Row],[Inhaler carbon footprint per inhaler in v2.36 (gCO2e) ]]</f>
        <v>0</v>
      </c>
      <c r="BS149" s="72" t="s">
        <v>809</v>
      </c>
    </row>
    <row r="150" spans="1:71" ht="122.45" customHeight="1" x14ac:dyDescent="0.25">
      <c r="A150" s="69" t="s">
        <v>799</v>
      </c>
      <c r="B150" s="69" t="s">
        <v>24</v>
      </c>
      <c r="C150" s="69" t="s">
        <v>403</v>
      </c>
      <c r="D150" s="69" t="s">
        <v>32</v>
      </c>
      <c r="E150" s="69" t="s">
        <v>95</v>
      </c>
      <c r="F150" s="69" t="s">
        <v>13</v>
      </c>
      <c r="G150" s="69">
        <v>120</v>
      </c>
      <c r="H150" s="70">
        <v>44.5</v>
      </c>
      <c r="I150" s="70">
        <f t="shared" si="7"/>
        <v>0.37083333333333335</v>
      </c>
      <c r="J150" s="69" t="s">
        <v>7</v>
      </c>
      <c r="K150" s="69" t="s">
        <v>7</v>
      </c>
      <c r="L150" s="69" t="s">
        <v>2</v>
      </c>
      <c r="M150" s="75" t="s">
        <v>8</v>
      </c>
      <c r="N150" s="75" t="s">
        <v>2</v>
      </c>
      <c r="O150" s="75" t="s">
        <v>2</v>
      </c>
      <c r="P150" s="75" t="s">
        <v>2</v>
      </c>
      <c r="Q150" s="75" t="s">
        <v>2</v>
      </c>
      <c r="R150" s="75" t="s">
        <v>2</v>
      </c>
      <c r="S150" s="75" t="s">
        <v>2</v>
      </c>
      <c r="T150" s="75" t="s">
        <v>2</v>
      </c>
      <c r="U150" s="75" t="s">
        <v>2</v>
      </c>
      <c r="V150" s="75" t="s">
        <v>2</v>
      </c>
      <c r="W150" s="75" t="s">
        <v>2</v>
      </c>
      <c r="X150" s="75" t="s">
        <v>2</v>
      </c>
      <c r="Y150" s="75" t="s">
        <v>718</v>
      </c>
      <c r="Z150" s="69" t="s">
        <v>79</v>
      </c>
      <c r="AA150" s="69" t="s">
        <v>715</v>
      </c>
      <c r="AB150" s="69" t="s">
        <v>800</v>
      </c>
      <c r="AC150" s="69" t="s">
        <v>1096</v>
      </c>
      <c r="AD150" s="72">
        <f>Table13[[#This Row],[Carbon footprint per inhaler attributed to propellant PrescQIPP calculated as gCO2e (from PIL or as assigned in the methodology)11-13]]</f>
        <v>13.015000000000001</v>
      </c>
      <c r="AE150" s="75" t="s">
        <v>530</v>
      </c>
      <c r="AF150" s="75" t="s">
        <v>2</v>
      </c>
      <c r="AG150" s="75" t="s">
        <v>46</v>
      </c>
      <c r="AH150" s="75" t="s">
        <v>784</v>
      </c>
      <c r="AI150" s="75" t="s">
        <v>46</v>
      </c>
      <c r="AJ150" s="72" t="str">
        <f>IF(Table13[[#This Row],[Indicative carbon footprint /inhaler (gCO2e) 7,8]]&gt;1796,"High","Low")</f>
        <v>Low</v>
      </c>
      <c r="AK150" s="75" t="s">
        <v>46</v>
      </c>
      <c r="AL150" s="72" t="s">
        <v>46</v>
      </c>
      <c r="AM150" s="69"/>
      <c r="AN150" s="69" t="s">
        <v>1156</v>
      </c>
      <c r="AO150" s="69">
        <v>9.5</v>
      </c>
      <c r="AP150" s="69">
        <v>1.2999999999999999E-5</v>
      </c>
      <c r="AQ150" s="72">
        <f>1.37*9.5</f>
        <v>13.015000000000001</v>
      </c>
      <c r="AR150" s="74" t="s">
        <v>249</v>
      </c>
      <c r="AS150" s="69" t="s">
        <v>34</v>
      </c>
      <c r="AT150" s="69" t="s">
        <v>802</v>
      </c>
      <c r="AU150" s="69" t="s">
        <v>46</v>
      </c>
      <c r="AV150" s="69" t="s">
        <v>46</v>
      </c>
      <c r="AW150" s="69" t="s">
        <v>46</v>
      </c>
      <c r="AX150" s="69" t="s">
        <v>46</v>
      </c>
      <c r="AY150" s="69" t="s">
        <v>46</v>
      </c>
      <c r="AZ150" s="69" t="s">
        <v>46</v>
      </c>
      <c r="BA150" s="69" t="s">
        <v>46</v>
      </c>
      <c r="BB150" s="69" t="s">
        <v>46</v>
      </c>
      <c r="BC150" s="69" t="s">
        <v>46</v>
      </c>
      <c r="BD150" s="69" t="s">
        <v>46</v>
      </c>
      <c r="BE150" s="69" t="s">
        <v>46</v>
      </c>
      <c r="BF150" s="69" t="s">
        <v>11</v>
      </c>
      <c r="BG150" s="107">
        <v>45839</v>
      </c>
      <c r="BH150" s="69" t="s">
        <v>801</v>
      </c>
      <c r="BI150" s="69" t="s">
        <v>11</v>
      </c>
      <c r="BJ150" s="69" t="s">
        <v>804</v>
      </c>
      <c r="BK150" s="69" t="s">
        <v>805</v>
      </c>
      <c r="BL150" s="69" t="s">
        <v>803</v>
      </c>
      <c r="BM150" s="75" t="s">
        <v>11</v>
      </c>
      <c r="BN150" s="75" t="s">
        <v>879</v>
      </c>
      <c r="BO150" s="72" t="s">
        <v>1004</v>
      </c>
      <c r="BP150" s="72">
        <v>13.015000000000001</v>
      </c>
      <c r="BQ150" s="75" t="s">
        <v>11</v>
      </c>
      <c r="BR150" s="72">
        <f>Table13[[#This Row],[Inhaler carbon footprint per inhaler in v2.37 (gCO2e) ]]-Table13[[#This Row],[Inhaler carbon footprint per inhaler in v2.36 (gCO2e) ]]</f>
        <v>-13486.985000000001</v>
      </c>
      <c r="BS150" s="72">
        <f>Table13[[#This Row],[Inhaler carbon footprint per inhaler in v2.37 (gCO2e) ]]-Table13[[#This Row],[Inhaler carbon footprint per inhaler in v2.36 (gCO2e) ]]</f>
        <v>-13486.985000000001</v>
      </c>
    </row>
    <row r="151" spans="1:71" ht="111" customHeight="1" x14ac:dyDescent="0.25">
      <c r="A151" s="69" t="s">
        <v>902</v>
      </c>
      <c r="B151" s="69" t="s">
        <v>740</v>
      </c>
      <c r="C151" s="69" t="s">
        <v>229</v>
      </c>
      <c r="D151" s="69" t="s">
        <v>32</v>
      </c>
      <c r="E151" s="69" t="s">
        <v>92</v>
      </c>
      <c r="F151" s="69" t="s">
        <v>3</v>
      </c>
      <c r="G151" s="72">
        <v>30</v>
      </c>
      <c r="H151" s="70">
        <v>8.5</v>
      </c>
      <c r="I151" s="70">
        <f t="shared" si="7"/>
        <v>0.28333333333333333</v>
      </c>
      <c r="J151" s="69" t="s">
        <v>7</v>
      </c>
      <c r="K151" s="69" t="s">
        <v>7</v>
      </c>
      <c r="L151" s="69" t="s">
        <v>2</v>
      </c>
      <c r="M151" s="75" t="s">
        <v>8</v>
      </c>
      <c r="N151" s="75" t="s">
        <v>2</v>
      </c>
      <c r="O151" s="75" t="s">
        <v>2</v>
      </c>
      <c r="P151" s="75" t="s">
        <v>2</v>
      </c>
      <c r="Q151" s="75" t="s">
        <v>2</v>
      </c>
      <c r="R151" s="75" t="s">
        <v>2</v>
      </c>
      <c r="S151" s="75" t="s">
        <v>2</v>
      </c>
      <c r="T151" s="75" t="s">
        <v>2</v>
      </c>
      <c r="U151" s="75" t="s">
        <v>2</v>
      </c>
      <c r="V151" s="75" t="s">
        <v>2</v>
      </c>
      <c r="W151" s="75" t="s">
        <v>2</v>
      </c>
      <c r="X151" s="75" t="s">
        <v>2</v>
      </c>
      <c r="Y151" s="75" t="s">
        <v>2</v>
      </c>
      <c r="Z151" s="69" t="s">
        <v>2</v>
      </c>
      <c r="AA151" s="69" t="s">
        <v>714</v>
      </c>
      <c r="AB151" s="69" t="s">
        <v>830</v>
      </c>
      <c r="AC151" s="69" t="s">
        <v>831</v>
      </c>
      <c r="AD151" s="72">
        <v>92</v>
      </c>
      <c r="AE151" s="75" t="s">
        <v>1077</v>
      </c>
      <c r="AF151" s="75" t="s">
        <v>46</v>
      </c>
      <c r="AG151" s="75" t="s">
        <v>46</v>
      </c>
      <c r="AH151" s="75" t="s">
        <v>46</v>
      </c>
      <c r="AI151" s="75" t="s">
        <v>46</v>
      </c>
      <c r="AJ151" s="72" t="str">
        <f>IF(Table13[[#This Row],[Indicative carbon footprint /inhaler (gCO2e) 7,8]]&gt;1796,"High","Low")</f>
        <v>Low</v>
      </c>
      <c r="AK151" s="72" t="s">
        <v>46</v>
      </c>
      <c r="AL151" s="72" t="s">
        <v>46</v>
      </c>
      <c r="AM151" s="70" t="s">
        <v>898</v>
      </c>
      <c r="AN151" s="69" t="s">
        <v>2</v>
      </c>
      <c r="AO151" s="69" t="s">
        <v>2</v>
      </c>
      <c r="AP151" s="69" t="s">
        <v>2</v>
      </c>
      <c r="AQ151" s="69" t="s">
        <v>2</v>
      </c>
      <c r="AR151" s="74" t="s">
        <v>773</v>
      </c>
      <c r="AS151" s="69" t="s">
        <v>34</v>
      </c>
      <c r="AT151" s="69" t="s">
        <v>46</v>
      </c>
      <c r="AU151" s="69" t="s">
        <v>46</v>
      </c>
      <c r="AV151" s="69" t="s">
        <v>46</v>
      </c>
      <c r="AW151" s="69" t="s">
        <v>46</v>
      </c>
      <c r="AX151" s="69" t="s">
        <v>46</v>
      </c>
      <c r="AY151" s="69" t="s">
        <v>46</v>
      </c>
      <c r="AZ151" s="69" t="s">
        <v>46</v>
      </c>
      <c r="BA151" s="69" t="s">
        <v>46</v>
      </c>
      <c r="BB151" s="69" t="s">
        <v>46</v>
      </c>
      <c r="BC151" s="69" t="s">
        <v>46</v>
      </c>
      <c r="BD151" s="69" t="s">
        <v>46</v>
      </c>
      <c r="BE151" s="69" t="s">
        <v>46</v>
      </c>
      <c r="BF151" s="69" t="s">
        <v>2</v>
      </c>
      <c r="BG151" s="69" t="s">
        <v>2</v>
      </c>
      <c r="BH151" s="69" t="s">
        <v>2</v>
      </c>
      <c r="BI151" s="69" t="s">
        <v>2</v>
      </c>
      <c r="BJ151" s="69" t="s">
        <v>2</v>
      </c>
      <c r="BK151" s="69" t="s">
        <v>2</v>
      </c>
      <c r="BL151" s="69" t="s">
        <v>828</v>
      </c>
      <c r="BM151" s="75" t="s">
        <v>11</v>
      </c>
      <c r="BN151" s="75" t="s">
        <v>2</v>
      </c>
      <c r="BO151" s="72" t="s">
        <v>1083</v>
      </c>
      <c r="BP151" s="72">
        <v>92</v>
      </c>
      <c r="BQ151" s="75" t="s">
        <v>11</v>
      </c>
      <c r="BR151" s="72" t="s">
        <v>1011</v>
      </c>
      <c r="BS151" s="72" t="s">
        <v>1010</v>
      </c>
    </row>
    <row r="152" spans="1:71" ht="108.95" customHeight="1" x14ac:dyDescent="0.25">
      <c r="A152" s="69" t="s">
        <v>903</v>
      </c>
      <c r="B152" s="69" t="s">
        <v>740</v>
      </c>
      <c r="C152" s="69" t="s">
        <v>229</v>
      </c>
      <c r="D152" s="69" t="s">
        <v>32</v>
      </c>
      <c r="E152" s="69" t="s">
        <v>92</v>
      </c>
      <c r="F152" s="69" t="s">
        <v>3</v>
      </c>
      <c r="G152" s="72">
        <v>30</v>
      </c>
      <c r="H152" s="70">
        <v>12.5</v>
      </c>
      <c r="I152" s="70">
        <f t="shared" si="7"/>
        <v>0.41666666666666669</v>
      </c>
      <c r="J152" s="69" t="s">
        <v>7</v>
      </c>
      <c r="K152" s="69" t="s">
        <v>7</v>
      </c>
      <c r="L152" s="69" t="s">
        <v>2</v>
      </c>
      <c r="M152" s="75" t="s">
        <v>8</v>
      </c>
      <c r="N152" s="75" t="s">
        <v>2</v>
      </c>
      <c r="O152" s="75" t="s">
        <v>2</v>
      </c>
      <c r="P152" s="75" t="s">
        <v>2</v>
      </c>
      <c r="Q152" s="75" t="s">
        <v>2</v>
      </c>
      <c r="R152" s="75" t="s">
        <v>2</v>
      </c>
      <c r="S152" s="75" t="s">
        <v>2</v>
      </c>
      <c r="T152" s="75" t="s">
        <v>2</v>
      </c>
      <c r="U152" s="75" t="s">
        <v>2</v>
      </c>
      <c r="V152" s="75" t="s">
        <v>2</v>
      </c>
      <c r="W152" s="75" t="s">
        <v>2</v>
      </c>
      <c r="X152" s="75" t="s">
        <v>2</v>
      </c>
      <c r="Y152" s="75" t="s">
        <v>2</v>
      </c>
      <c r="Z152" s="69" t="s">
        <v>2</v>
      </c>
      <c r="AA152" s="69" t="s">
        <v>714</v>
      </c>
      <c r="AB152" s="69" t="s">
        <v>830</v>
      </c>
      <c r="AC152" s="69" t="s">
        <v>831</v>
      </c>
      <c r="AD152" s="72">
        <v>282</v>
      </c>
      <c r="AE152" s="75" t="s">
        <v>1077</v>
      </c>
      <c r="AF152" s="75" t="s">
        <v>46</v>
      </c>
      <c r="AG152" s="75" t="s">
        <v>46</v>
      </c>
      <c r="AH152" s="75" t="s">
        <v>46</v>
      </c>
      <c r="AI152" s="75" t="s">
        <v>46</v>
      </c>
      <c r="AJ152" s="72" t="str">
        <f>IF(Table13[[#This Row],[Indicative carbon footprint /inhaler (gCO2e) 7,8]]&gt;1796,"High","Low")</f>
        <v>Low</v>
      </c>
      <c r="AK152" s="72" t="s">
        <v>46</v>
      </c>
      <c r="AL152" s="72" t="s">
        <v>46</v>
      </c>
      <c r="AM152" s="70" t="s">
        <v>898</v>
      </c>
      <c r="AN152" s="69" t="s">
        <v>2</v>
      </c>
      <c r="AO152" s="69" t="s">
        <v>2</v>
      </c>
      <c r="AP152" s="69" t="s">
        <v>2</v>
      </c>
      <c r="AQ152" s="69" t="s">
        <v>2</v>
      </c>
      <c r="AR152" s="74" t="s">
        <v>772</v>
      </c>
      <c r="AS152" s="69" t="s">
        <v>34</v>
      </c>
      <c r="AT152" s="69" t="s">
        <v>46</v>
      </c>
      <c r="AU152" s="69" t="s">
        <v>46</v>
      </c>
      <c r="AV152" s="69" t="s">
        <v>46</v>
      </c>
      <c r="AW152" s="69" t="s">
        <v>46</v>
      </c>
      <c r="AX152" s="69" t="s">
        <v>46</v>
      </c>
      <c r="AY152" s="69" t="s">
        <v>46</v>
      </c>
      <c r="AZ152" s="69" t="s">
        <v>46</v>
      </c>
      <c r="BA152" s="69" t="s">
        <v>46</v>
      </c>
      <c r="BB152" s="69" t="s">
        <v>46</v>
      </c>
      <c r="BC152" s="69" t="s">
        <v>46</v>
      </c>
      <c r="BD152" s="69" t="s">
        <v>46</v>
      </c>
      <c r="BE152" s="69" t="s">
        <v>46</v>
      </c>
      <c r="BF152" s="69" t="s">
        <v>2</v>
      </c>
      <c r="BG152" s="69" t="s">
        <v>2</v>
      </c>
      <c r="BH152" s="69" t="s">
        <v>2</v>
      </c>
      <c r="BI152" s="69" t="s">
        <v>2</v>
      </c>
      <c r="BJ152" s="69" t="s">
        <v>2</v>
      </c>
      <c r="BK152" s="69" t="s">
        <v>2</v>
      </c>
      <c r="BL152" s="69" t="s">
        <v>828</v>
      </c>
      <c r="BM152" s="75" t="s">
        <v>11</v>
      </c>
      <c r="BN152" s="75" t="s">
        <v>2</v>
      </c>
      <c r="BO152" s="72" t="s">
        <v>1083</v>
      </c>
      <c r="BP152" s="72">
        <v>282</v>
      </c>
      <c r="BQ152" s="75" t="s">
        <v>11</v>
      </c>
      <c r="BR152" s="72" t="s">
        <v>1011</v>
      </c>
      <c r="BS152" s="72" t="s">
        <v>1010</v>
      </c>
    </row>
    <row r="153" spans="1:71" ht="118.5" customHeight="1" x14ac:dyDescent="0.25">
      <c r="A153" s="69" t="s">
        <v>411</v>
      </c>
      <c r="B153" s="69" t="s">
        <v>132</v>
      </c>
      <c r="C153" s="69" t="s">
        <v>402</v>
      </c>
      <c r="D153" s="69" t="s">
        <v>32</v>
      </c>
      <c r="E153" s="69" t="s">
        <v>33</v>
      </c>
      <c r="F153" s="69" t="s">
        <v>3</v>
      </c>
      <c r="G153" s="69">
        <v>30</v>
      </c>
      <c r="H153" s="70">
        <v>32.5</v>
      </c>
      <c r="I153" s="70">
        <f t="shared" si="7"/>
        <v>1.0833333333333333</v>
      </c>
      <c r="J153" s="69" t="s">
        <v>7</v>
      </c>
      <c r="K153" s="69" t="s">
        <v>7</v>
      </c>
      <c r="L153" s="69" t="s">
        <v>2</v>
      </c>
      <c r="M153" s="75" t="s">
        <v>8</v>
      </c>
      <c r="N153" s="75" t="s">
        <v>2</v>
      </c>
      <c r="O153" s="75" t="s">
        <v>2</v>
      </c>
      <c r="P153" s="75" t="s">
        <v>2</v>
      </c>
      <c r="Q153" s="75" t="s">
        <v>2</v>
      </c>
      <c r="R153" s="75" t="s">
        <v>2</v>
      </c>
      <c r="S153" s="75" t="s">
        <v>2</v>
      </c>
      <c r="T153" s="75" t="s">
        <v>2</v>
      </c>
      <c r="U153" s="75" t="s">
        <v>2</v>
      </c>
      <c r="V153" s="75" t="s">
        <v>2</v>
      </c>
      <c r="W153" s="75" t="s">
        <v>2</v>
      </c>
      <c r="X153" s="75" t="s">
        <v>2</v>
      </c>
      <c r="Y153" s="75" t="s">
        <v>2</v>
      </c>
      <c r="Z153" s="69" t="s">
        <v>2</v>
      </c>
      <c r="AA153" s="69" t="s">
        <v>714</v>
      </c>
      <c r="AB153" s="69" t="s">
        <v>714</v>
      </c>
      <c r="AC153" s="69" t="s">
        <v>841</v>
      </c>
      <c r="AD153" s="72">
        <v>667</v>
      </c>
      <c r="AE153" s="75" t="s">
        <v>964</v>
      </c>
      <c r="AF153" s="75" t="s">
        <v>2</v>
      </c>
      <c r="AG153" s="75" t="s">
        <v>2</v>
      </c>
      <c r="AH153" s="75" t="s">
        <v>2</v>
      </c>
      <c r="AI153" s="75" t="s">
        <v>2</v>
      </c>
      <c r="AJ153" s="72" t="str">
        <f>IF(Table13[[#This Row],[Indicative carbon footprint /inhaler (gCO2e) 7,8]]&gt;1796,"High","Low")</f>
        <v>Low</v>
      </c>
      <c r="AK153" s="72" t="s">
        <v>46</v>
      </c>
      <c r="AL153" s="72" t="s">
        <v>46</v>
      </c>
      <c r="AM153" s="69"/>
      <c r="AN153" s="69" t="s">
        <v>2</v>
      </c>
      <c r="AO153" s="69" t="s">
        <v>2</v>
      </c>
      <c r="AP153" s="69" t="s">
        <v>2</v>
      </c>
      <c r="AQ153" s="69" t="s">
        <v>2</v>
      </c>
      <c r="AR153" s="74" t="s">
        <v>250</v>
      </c>
      <c r="AS153" s="69" t="s">
        <v>34</v>
      </c>
      <c r="AT153" s="69" t="s">
        <v>46</v>
      </c>
      <c r="AU153" s="69" t="s">
        <v>46</v>
      </c>
      <c r="AV153" s="69" t="s">
        <v>46</v>
      </c>
      <c r="AW153" s="69" t="s">
        <v>46</v>
      </c>
      <c r="AX153" s="69" t="s">
        <v>46</v>
      </c>
      <c r="AY153" s="69" t="s">
        <v>46</v>
      </c>
      <c r="AZ153" s="69" t="s">
        <v>46</v>
      </c>
      <c r="BA153" s="69" t="s">
        <v>46</v>
      </c>
      <c r="BB153" s="69" t="s">
        <v>46</v>
      </c>
      <c r="BC153" s="69" t="s">
        <v>46</v>
      </c>
      <c r="BD153" s="69" t="s">
        <v>46</v>
      </c>
      <c r="BE153" s="69" t="s">
        <v>46</v>
      </c>
      <c r="BF153" s="69" t="s">
        <v>2</v>
      </c>
      <c r="BG153" s="69" t="s">
        <v>2</v>
      </c>
      <c r="BH153" s="69" t="s">
        <v>2</v>
      </c>
      <c r="BI153" s="69" t="s">
        <v>2</v>
      </c>
      <c r="BJ153" s="69" t="s">
        <v>2</v>
      </c>
      <c r="BK153" s="69" t="s">
        <v>2</v>
      </c>
      <c r="BL153" s="69" t="s">
        <v>46</v>
      </c>
      <c r="BM153" s="75" t="s">
        <v>11</v>
      </c>
      <c r="BN153" s="75" t="s">
        <v>2</v>
      </c>
      <c r="BO153" s="72" t="s">
        <v>996</v>
      </c>
      <c r="BP153" s="72">
        <v>667</v>
      </c>
      <c r="BQ153" s="75" t="s">
        <v>11</v>
      </c>
      <c r="BR153" s="72">
        <f>Table13[[#This Row],[Inhaler carbon footprint per inhaler in v2.37 (gCO2e) ]]-Table13[[#This Row],[Inhaler carbon footprint per inhaler in v2.36 (gCO2e) ]]</f>
        <v>104.5</v>
      </c>
      <c r="BS153" s="72">
        <f>Table13[[#This Row],[Inhaler carbon footprint per inhaler in v2.37 (gCO2e) ]]-Table13[[#This Row],[Inhaler carbon footprint per inhaler in v2.36 (gCO2e) ]]</f>
        <v>104.5</v>
      </c>
    </row>
    <row r="154" spans="1:71" ht="201.95" customHeight="1" x14ac:dyDescent="0.25">
      <c r="A154" s="69" t="s">
        <v>392</v>
      </c>
      <c r="B154" s="69" t="s">
        <v>30</v>
      </c>
      <c r="C154" s="69" t="s">
        <v>393</v>
      </c>
      <c r="D154" s="69" t="s">
        <v>17</v>
      </c>
      <c r="E154" s="69" t="s">
        <v>18</v>
      </c>
      <c r="F154" s="69" t="s">
        <v>3</v>
      </c>
      <c r="G154" s="69">
        <v>60</v>
      </c>
      <c r="H154" s="70">
        <v>3.6</v>
      </c>
      <c r="I154" s="70">
        <f t="shared" si="7"/>
        <v>6.0000000000000005E-2</v>
      </c>
      <c r="J154" s="69" t="s">
        <v>19</v>
      </c>
      <c r="K154" s="69" t="s">
        <v>76</v>
      </c>
      <c r="L154" s="69" t="s">
        <v>2</v>
      </c>
      <c r="M154" s="75" t="s">
        <v>8</v>
      </c>
      <c r="N154" s="75" t="s">
        <v>2</v>
      </c>
      <c r="O154" s="75" t="s">
        <v>2</v>
      </c>
      <c r="P154" s="75" t="s">
        <v>2</v>
      </c>
      <c r="Q154" s="75" t="s">
        <v>2</v>
      </c>
      <c r="R154" s="75" t="s">
        <v>2</v>
      </c>
      <c r="S154" s="75" t="s">
        <v>2</v>
      </c>
      <c r="T154" s="75" t="s">
        <v>2</v>
      </c>
      <c r="U154" s="75" t="s">
        <v>2</v>
      </c>
      <c r="V154" s="75" t="s">
        <v>2</v>
      </c>
      <c r="W154" s="75" t="s">
        <v>2</v>
      </c>
      <c r="X154" s="75" t="s">
        <v>2</v>
      </c>
      <c r="Y154" s="75" t="s">
        <v>2</v>
      </c>
      <c r="Z154" s="69" t="s">
        <v>79</v>
      </c>
      <c r="AA154" s="69" t="s">
        <v>725</v>
      </c>
      <c r="AB154" s="69" t="s">
        <v>725</v>
      </c>
      <c r="AC154" s="69" t="s">
        <v>935</v>
      </c>
      <c r="AD154" s="72">
        <v>583</v>
      </c>
      <c r="AE154" s="75" t="s">
        <v>9</v>
      </c>
      <c r="AF154" s="75" t="s">
        <v>46</v>
      </c>
      <c r="AG154" s="75" t="s">
        <v>46</v>
      </c>
      <c r="AH154" s="75" t="s">
        <v>46</v>
      </c>
      <c r="AI154" s="75" t="s">
        <v>46</v>
      </c>
      <c r="AJ154" s="72" t="str">
        <f>IF(Table13[[#This Row],[Indicative carbon footprint /inhaler (gCO2e) 7,8]]&gt;1796,"High","Low")</f>
        <v>Low</v>
      </c>
      <c r="AK154" s="72" t="s">
        <v>46</v>
      </c>
      <c r="AL154" s="72" t="s">
        <v>46</v>
      </c>
      <c r="AM154" s="69"/>
      <c r="AN154" s="69" t="s">
        <v>2</v>
      </c>
      <c r="AO154" s="69" t="s">
        <v>2</v>
      </c>
      <c r="AP154" s="69" t="s">
        <v>2</v>
      </c>
      <c r="AQ154" s="69" t="s">
        <v>2</v>
      </c>
      <c r="AR154" s="74" t="s">
        <v>251</v>
      </c>
      <c r="AS154" s="69" t="s">
        <v>34</v>
      </c>
      <c r="AT154" s="69" t="s">
        <v>201</v>
      </c>
      <c r="AU154" s="69">
        <v>22</v>
      </c>
      <c r="AV154" s="69">
        <v>260</v>
      </c>
      <c r="AW154" s="69" t="s">
        <v>422</v>
      </c>
      <c r="AX154" s="69" t="s">
        <v>272</v>
      </c>
      <c r="AY154" s="69">
        <v>159</v>
      </c>
      <c r="AZ154" s="69" t="s">
        <v>423</v>
      </c>
      <c r="BA154" s="69" t="s">
        <v>423</v>
      </c>
      <c r="BB154" s="69">
        <v>23</v>
      </c>
      <c r="BC154" s="69">
        <v>124</v>
      </c>
      <c r="BD154" s="69">
        <v>13</v>
      </c>
      <c r="BE154" s="69" t="s">
        <v>46</v>
      </c>
      <c r="BF154" s="69" t="s">
        <v>2</v>
      </c>
      <c r="BG154" s="69" t="s">
        <v>2</v>
      </c>
      <c r="BH154" s="69" t="s">
        <v>2</v>
      </c>
      <c r="BI154" s="69" t="s">
        <v>2</v>
      </c>
      <c r="BJ154" s="69" t="s">
        <v>2</v>
      </c>
      <c r="BK154" s="69" t="s">
        <v>2</v>
      </c>
      <c r="BL154" s="69" t="s">
        <v>36</v>
      </c>
      <c r="BM154" s="75" t="s">
        <v>843</v>
      </c>
      <c r="BN154" s="75" t="s">
        <v>2</v>
      </c>
      <c r="BO154" s="72" t="s">
        <v>1005</v>
      </c>
      <c r="BP154" s="72">
        <v>583</v>
      </c>
      <c r="BQ154" s="75" t="s">
        <v>34</v>
      </c>
      <c r="BR154" s="72">
        <f>Table13[[#This Row],[Inhaler carbon footprint per inhaler in v2.37 (gCO2e) ]]-Table13[[#This Row],[Inhaler carbon footprint per inhaler in v2.36 (gCO2e) ]]</f>
        <v>0</v>
      </c>
      <c r="BS154" s="72" t="s">
        <v>809</v>
      </c>
    </row>
    <row r="155" spans="1:71" ht="142.5" customHeight="1" x14ac:dyDescent="0.25">
      <c r="A155" s="69" t="s">
        <v>394</v>
      </c>
      <c r="B155" s="69" t="s">
        <v>30</v>
      </c>
      <c r="C155" s="69" t="s">
        <v>286</v>
      </c>
      <c r="D155" s="69" t="s">
        <v>17</v>
      </c>
      <c r="E155" s="69" t="s">
        <v>18</v>
      </c>
      <c r="F155" s="69" t="s">
        <v>13</v>
      </c>
      <c r="G155" s="69">
        <v>200</v>
      </c>
      <c r="H155" s="70">
        <v>1.5</v>
      </c>
      <c r="I155" s="70">
        <f t="shared" si="7"/>
        <v>7.4999999999999997E-3</v>
      </c>
      <c r="J155" s="69" t="s">
        <v>19</v>
      </c>
      <c r="K155" s="69" t="s">
        <v>20</v>
      </c>
      <c r="L155" s="69" t="s">
        <v>2</v>
      </c>
      <c r="M155" s="75" t="s">
        <v>8</v>
      </c>
      <c r="N155" s="75" t="s">
        <v>2</v>
      </c>
      <c r="O155" s="75" t="s">
        <v>2</v>
      </c>
      <c r="P155" s="75" t="s">
        <v>2</v>
      </c>
      <c r="Q155" s="75" t="s">
        <v>2</v>
      </c>
      <c r="R155" s="75" t="s">
        <v>2</v>
      </c>
      <c r="S155" s="75" t="s">
        <v>2</v>
      </c>
      <c r="T155" s="75" t="s">
        <v>2</v>
      </c>
      <c r="U155" s="75" t="s">
        <v>2</v>
      </c>
      <c r="V155" s="75" t="s">
        <v>2</v>
      </c>
      <c r="W155" s="75" t="s">
        <v>2</v>
      </c>
      <c r="X155" s="75" t="s">
        <v>2</v>
      </c>
      <c r="Y155" s="75" t="s">
        <v>2</v>
      </c>
      <c r="Z155" s="69" t="s">
        <v>8</v>
      </c>
      <c r="AA155" s="69" t="s">
        <v>725</v>
      </c>
      <c r="AB155" s="69" t="s">
        <v>725</v>
      </c>
      <c r="AC155" s="69" t="s">
        <v>952</v>
      </c>
      <c r="AD155" s="72">
        <f>Table13[[#This Row],[Carbon footprint per inhaler attributed to propellant PrescQIPP calculated as gCO2e (from PIL or as assigned in the methodology)11-13]]</f>
        <v>25740</v>
      </c>
      <c r="AE155" s="75" t="s">
        <v>530</v>
      </c>
      <c r="AF155" s="75" t="s">
        <v>46</v>
      </c>
      <c r="AG155" s="75" t="s">
        <v>46</v>
      </c>
      <c r="AH155" s="75" t="s">
        <v>46</v>
      </c>
      <c r="AI155" s="75" t="s">
        <v>46</v>
      </c>
      <c r="AJ155" s="72" t="str">
        <f>IF(Table13[[#This Row],[Indicative carbon footprint /inhaler (gCO2e) 7,8]]&gt;1796,"High","Low")</f>
        <v>High</v>
      </c>
      <c r="AK155" s="72" t="s">
        <v>46</v>
      </c>
      <c r="AL155" s="72" t="s">
        <v>46</v>
      </c>
      <c r="AM155" s="70"/>
      <c r="AN155" s="69" t="s">
        <v>177</v>
      </c>
      <c r="AO155" s="69">
        <v>18</v>
      </c>
      <c r="AP155" s="69">
        <v>2.5700000000000001E-2</v>
      </c>
      <c r="AQ155" s="72">
        <f>Table13[[#This Row],[Amount of propellant per inhaler (from PIL) (g)12-13]]*1430</f>
        <v>25740</v>
      </c>
      <c r="AR155" s="74" t="s">
        <v>252</v>
      </c>
      <c r="AS155" s="69" t="s">
        <v>34</v>
      </c>
      <c r="AT155" s="69" t="s">
        <v>35</v>
      </c>
      <c r="AU155" s="69">
        <v>100</v>
      </c>
      <c r="AV155" s="69">
        <v>70</v>
      </c>
      <c r="AW155" s="69" t="s">
        <v>422</v>
      </c>
      <c r="AX155" s="69" t="s">
        <v>272</v>
      </c>
      <c r="AY155" s="69">
        <v>1036</v>
      </c>
      <c r="AZ155" s="69" t="s">
        <v>423</v>
      </c>
      <c r="BA155" s="69" t="s">
        <v>423</v>
      </c>
      <c r="BB155" s="69">
        <v>22</v>
      </c>
      <c r="BC155" s="69">
        <v>19389</v>
      </c>
      <c r="BD155" s="69">
        <v>7383</v>
      </c>
      <c r="BE155" s="69" t="s">
        <v>46</v>
      </c>
      <c r="BF155" s="69" t="s">
        <v>424</v>
      </c>
      <c r="BG155" s="69" t="s">
        <v>46</v>
      </c>
      <c r="BH155" s="69" t="s">
        <v>46</v>
      </c>
      <c r="BI155" s="69" t="s">
        <v>46</v>
      </c>
      <c r="BJ155" s="69" t="s">
        <v>46</v>
      </c>
      <c r="BK155" s="69" t="s">
        <v>46</v>
      </c>
      <c r="BL155" s="69" t="s">
        <v>36</v>
      </c>
      <c r="BM155" s="75" t="s">
        <v>843</v>
      </c>
      <c r="BN155" s="75" t="s">
        <v>878</v>
      </c>
      <c r="BO155" s="72" t="s">
        <v>1006</v>
      </c>
      <c r="BP155" s="72">
        <v>25740</v>
      </c>
      <c r="BQ155" s="75" t="s">
        <v>11</v>
      </c>
      <c r="BR155" s="72">
        <f>Table13[[#This Row],[Inhaler carbon footprint per inhaler in v2.37 (gCO2e) ]]-Table13[[#This Row],[Inhaler carbon footprint per inhaler in v2.36 (gCO2e) ]]</f>
        <v>-2522</v>
      </c>
      <c r="BS155" s="72">
        <f>Table13[[#This Row],[Inhaler carbon footprint per inhaler in v2.37 (gCO2e) ]]-Table13[[#This Row],[Inhaler carbon footprint per inhaler in v2.36 (gCO2e) ]]</f>
        <v>-2522</v>
      </c>
    </row>
    <row r="156" spans="1:71" ht="103.5" customHeight="1" x14ac:dyDescent="0.25">
      <c r="A156" s="69" t="s">
        <v>741</v>
      </c>
      <c r="B156" s="69" t="s">
        <v>145</v>
      </c>
      <c r="C156" s="69" t="s">
        <v>755</v>
      </c>
      <c r="D156" s="69" t="s">
        <v>5</v>
      </c>
      <c r="E156" s="69" t="s">
        <v>6</v>
      </c>
      <c r="F156" s="69" t="s">
        <v>13</v>
      </c>
      <c r="G156" s="69">
        <v>120</v>
      </c>
      <c r="H156" s="70">
        <v>9.85</v>
      </c>
      <c r="I156" s="70">
        <f>Table13[[#This Row],[NHS cost per inhaler 1,5-7]]/Table13[[#This Row],[Doses per inhaler1,2]]</f>
        <v>8.2083333333333328E-2</v>
      </c>
      <c r="J156" s="69" t="s">
        <v>7</v>
      </c>
      <c r="K156" s="69" t="s">
        <v>7</v>
      </c>
      <c r="L156" s="69" t="s">
        <v>79</v>
      </c>
      <c r="M156" s="69" t="s">
        <v>8</v>
      </c>
      <c r="N156" s="69" t="s">
        <v>2</v>
      </c>
      <c r="O156" s="69" t="s">
        <v>2</v>
      </c>
      <c r="P156" s="69" t="s">
        <v>2</v>
      </c>
      <c r="Q156" s="75" t="s">
        <v>2</v>
      </c>
      <c r="R156" s="69" t="s">
        <v>700</v>
      </c>
      <c r="S156" s="69" t="s">
        <v>699</v>
      </c>
      <c r="T156" s="69" t="s">
        <v>2</v>
      </c>
      <c r="U156" s="95" t="s">
        <v>1132</v>
      </c>
      <c r="V156" s="95" t="s">
        <v>1131</v>
      </c>
      <c r="W156" s="96">
        <f>Table13[[#This Row],[Cost/puff 1,5-7]]*28*3</f>
        <v>6.8949999999999996</v>
      </c>
      <c r="X156" s="96">
        <f>Table13[[#This Row],[Cost/puff 1,5-7]]*28*5</f>
        <v>11.491666666666667</v>
      </c>
      <c r="Y156" s="69" t="s">
        <v>717</v>
      </c>
      <c r="Z156" s="69" t="s">
        <v>79</v>
      </c>
      <c r="AA156" s="69" t="s">
        <v>1134</v>
      </c>
      <c r="AB156" s="69" t="s">
        <v>824</v>
      </c>
      <c r="AC156" s="69" t="s">
        <v>953</v>
      </c>
      <c r="AD156" s="72">
        <f>Table13[[#This Row],[Carbon footprint per inhaler attributed to propellant PrescQIPP calculated as gCO2e (from PIL or as assigned in the methodology)11-13]]</f>
        <v>11654.5</v>
      </c>
      <c r="AE156" s="75" t="s">
        <v>530</v>
      </c>
      <c r="AF156" s="75" t="s">
        <v>46</v>
      </c>
      <c r="AG156" s="75" t="s">
        <v>46</v>
      </c>
      <c r="AH156" s="75" t="s">
        <v>46</v>
      </c>
      <c r="AI156" s="75" t="s">
        <v>46</v>
      </c>
      <c r="AJ156" s="72" t="str">
        <f>IF(Table13[[#This Row],[Indicative carbon footprint /inhaler (gCO2e) 7,8]]&gt;1796,"High","Low")</f>
        <v>High</v>
      </c>
      <c r="AK156" s="72" t="s">
        <v>46</v>
      </c>
      <c r="AL156" s="72" t="s">
        <v>46</v>
      </c>
      <c r="AM156" s="70" t="s">
        <v>748</v>
      </c>
      <c r="AN156" s="69" t="s">
        <v>177</v>
      </c>
      <c r="AO156" s="69">
        <v>8.15</v>
      </c>
      <c r="AP156" s="69">
        <v>1.2E-2</v>
      </c>
      <c r="AQ156" s="72">
        <f>1430*Table13[[#This Row],[Amount of propellant per inhaler (from PIL) (g)12-13]]</f>
        <v>11654.5</v>
      </c>
      <c r="AR156" s="74" t="s">
        <v>955</v>
      </c>
      <c r="AS156" s="69" t="s">
        <v>34</v>
      </c>
      <c r="AT156" s="69" t="s">
        <v>46</v>
      </c>
      <c r="AU156" s="69" t="s">
        <v>46</v>
      </c>
      <c r="AV156" s="69" t="s">
        <v>46</v>
      </c>
      <c r="AW156" s="69" t="s">
        <v>46</v>
      </c>
      <c r="AX156" s="69" t="s">
        <v>46</v>
      </c>
      <c r="AY156" s="69" t="s">
        <v>46</v>
      </c>
      <c r="AZ156" s="69" t="s">
        <v>46</v>
      </c>
      <c r="BA156" s="69" t="s">
        <v>46</v>
      </c>
      <c r="BB156" s="69" t="s">
        <v>46</v>
      </c>
      <c r="BC156" s="69" t="s">
        <v>46</v>
      </c>
      <c r="BD156" s="69" t="s">
        <v>46</v>
      </c>
      <c r="BE156" s="69" t="s">
        <v>46</v>
      </c>
      <c r="BF156" s="69" t="s">
        <v>46</v>
      </c>
      <c r="BG156" s="69" t="s">
        <v>46</v>
      </c>
      <c r="BH156" s="69" t="s">
        <v>46</v>
      </c>
      <c r="BI156" s="69" t="s">
        <v>46</v>
      </c>
      <c r="BJ156" s="69" t="s">
        <v>46</v>
      </c>
      <c r="BK156" s="69" t="s">
        <v>46</v>
      </c>
      <c r="BL156" s="69" t="s">
        <v>46</v>
      </c>
      <c r="BM156" s="75" t="s">
        <v>843</v>
      </c>
      <c r="BN156" s="75" t="s">
        <v>877</v>
      </c>
      <c r="BO156" s="72" t="s">
        <v>1007</v>
      </c>
      <c r="BP156" s="72">
        <v>11654.5</v>
      </c>
      <c r="BQ156" s="75" t="s">
        <v>11</v>
      </c>
      <c r="BR156" s="72">
        <f>Table13[[#This Row],[Inhaler carbon footprint per inhaler in v2.37 (gCO2e) ]]-Table13[[#This Row],[Inhaler carbon footprint per inhaler in v2.36 (gCO2e) ]]</f>
        <v>954.5</v>
      </c>
      <c r="BS156" s="72" t="s">
        <v>1010</v>
      </c>
    </row>
    <row r="157" spans="1:71" ht="100.5" customHeight="1" x14ac:dyDescent="0.25">
      <c r="A157" s="69" t="s">
        <v>742</v>
      </c>
      <c r="B157" s="69" t="s">
        <v>145</v>
      </c>
      <c r="C157" s="69" t="s">
        <v>756</v>
      </c>
      <c r="D157" s="69" t="s">
        <v>12</v>
      </c>
      <c r="E157" s="69" t="s">
        <v>6</v>
      </c>
      <c r="F157" s="69" t="s">
        <v>13</v>
      </c>
      <c r="G157" s="69">
        <v>120</v>
      </c>
      <c r="H157" s="70">
        <v>9.85</v>
      </c>
      <c r="I157" s="70">
        <f>Table13[[#This Row],[NHS cost per inhaler 1,5-7]]/Table13[[#This Row],[Doses per inhaler1,2]]</f>
        <v>8.2083333333333328E-2</v>
      </c>
      <c r="J157" s="69" t="s">
        <v>7</v>
      </c>
      <c r="K157" s="69" t="s">
        <v>7</v>
      </c>
      <c r="L157" s="69" t="s">
        <v>8</v>
      </c>
      <c r="M157" s="75" t="s">
        <v>8</v>
      </c>
      <c r="N157" s="69" t="s">
        <v>2</v>
      </c>
      <c r="O157" s="69" t="s">
        <v>2</v>
      </c>
      <c r="P157" s="69" t="s">
        <v>2</v>
      </c>
      <c r="Q157" s="75" t="s">
        <v>2</v>
      </c>
      <c r="R157" s="69" t="s">
        <v>2</v>
      </c>
      <c r="S157" s="69" t="s">
        <v>2</v>
      </c>
      <c r="T157" s="75" t="s">
        <v>699</v>
      </c>
      <c r="U157" s="69" t="s">
        <v>2</v>
      </c>
      <c r="V157" s="69" t="s">
        <v>2</v>
      </c>
      <c r="W157" s="69" t="s">
        <v>2</v>
      </c>
      <c r="X157" s="69" t="s">
        <v>2</v>
      </c>
      <c r="Y157" s="69" t="s">
        <v>717</v>
      </c>
      <c r="Z157" s="69" t="s">
        <v>79</v>
      </c>
      <c r="AA157" s="69" t="s">
        <v>1097</v>
      </c>
      <c r="AB157" s="69" t="s">
        <v>824</v>
      </c>
      <c r="AC157" s="69" t="s">
        <v>953</v>
      </c>
      <c r="AD157" s="72">
        <f>Table13[[#This Row],[Carbon footprint per inhaler attributed to propellant PrescQIPP calculated as gCO2e (from PIL or as assigned in the methodology)11-13]]</f>
        <v>14643.2</v>
      </c>
      <c r="AE157" s="75" t="s">
        <v>530</v>
      </c>
      <c r="AF157" s="75" t="s">
        <v>46</v>
      </c>
      <c r="AG157" s="75" t="s">
        <v>46</v>
      </c>
      <c r="AH157" s="75" t="s">
        <v>46</v>
      </c>
      <c r="AI157" s="75" t="s">
        <v>46</v>
      </c>
      <c r="AJ157" s="72" t="str">
        <f>IF(Table13[[#This Row],[Indicative carbon footprint /inhaler (gCO2e) 7,8]]&gt;1796,"High","Low")</f>
        <v>High</v>
      </c>
      <c r="AK157" s="72" t="s">
        <v>46</v>
      </c>
      <c r="AL157" s="72" t="s">
        <v>46</v>
      </c>
      <c r="AM157" s="70" t="s">
        <v>748</v>
      </c>
      <c r="AN157" s="69" t="s">
        <v>177</v>
      </c>
      <c r="AO157" s="69">
        <v>10.24</v>
      </c>
      <c r="AP157" s="69">
        <v>1.4999999999999999E-2</v>
      </c>
      <c r="AQ157" s="72">
        <f>1430*Table13[[#This Row],[Amount of propellant per inhaler (from PIL) (g)12-13]]</f>
        <v>14643.2</v>
      </c>
      <c r="AR157" s="74" t="s">
        <v>956</v>
      </c>
      <c r="AS157" s="69" t="s">
        <v>34</v>
      </c>
      <c r="AT157" s="69" t="s">
        <v>46</v>
      </c>
      <c r="AU157" s="69" t="s">
        <v>46</v>
      </c>
      <c r="AV157" s="69" t="s">
        <v>46</v>
      </c>
      <c r="AW157" s="69" t="s">
        <v>46</v>
      </c>
      <c r="AX157" s="69" t="s">
        <v>46</v>
      </c>
      <c r="AY157" s="69" t="s">
        <v>46</v>
      </c>
      <c r="AZ157" s="69" t="s">
        <v>46</v>
      </c>
      <c r="BA157" s="69" t="s">
        <v>46</v>
      </c>
      <c r="BB157" s="69" t="s">
        <v>46</v>
      </c>
      <c r="BC157" s="69" t="s">
        <v>46</v>
      </c>
      <c r="BD157" s="69" t="s">
        <v>46</v>
      </c>
      <c r="BE157" s="69" t="s">
        <v>46</v>
      </c>
      <c r="BF157" s="69" t="s">
        <v>46</v>
      </c>
      <c r="BG157" s="69" t="s">
        <v>46</v>
      </c>
      <c r="BH157" s="69" t="s">
        <v>46</v>
      </c>
      <c r="BI157" s="69" t="s">
        <v>46</v>
      </c>
      <c r="BJ157" s="69" t="s">
        <v>46</v>
      </c>
      <c r="BK157" s="69" t="s">
        <v>46</v>
      </c>
      <c r="BL157" s="69" t="s">
        <v>46</v>
      </c>
      <c r="BM157" s="75" t="s">
        <v>843</v>
      </c>
      <c r="BN157" s="75" t="s">
        <v>877</v>
      </c>
      <c r="BO157" s="72" t="s">
        <v>1008</v>
      </c>
      <c r="BP157" s="72">
        <v>14643.2</v>
      </c>
      <c r="BQ157" s="75" t="s">
        <v>11</v>
      </c>
      <c r="BR157" s="72">
        <f>Table13[[#This Row],[Inhaler carbon footprint per inhaler in v2.37 (gCO2e) ]]-Table13[[#This Row],[Inhaler carbon footprint per inhaler in v2.36 (gCO2e) ]]</f>
        <v>1193.2000000000007</v>
      </c>
      <c r="BS157" s="72" t="s">
        <v>1010</v>
      </c>
    </row>
    <row r="158" spans="1:71" ht="111" customHeight="1" x14ac:dyDescent="0.25">
      <c r="A158" s="69" t="s">
        <v>501</v>
      </c>
      <c r="B158" s="69" t="s">
        <v>503</v>
      </c>
      <c r="C158" s="69" t="s">
        <v>767</v>
      </c>
      <c r="D158" s="69" t="s">
        <v>5</v>
      </c>
      <c r="E158" s="69" t="s">
        <v>6</v>
      </c>
      <c r="F158" s="69" t="s">
        <v>3</v>
      </c>
      <c r="G158" s="69">
        <v>120</v>
      </c>
      <c r="H158" s="70">
        <v>19</v>
      </c>
      <c r="I158" s="70">
        <f>H158/G158</f>
        <v>0.15833333333333333</v>
      </c>
      <c r="J158" s="69" t="s">
        <v>26</v>
      </c>
      <c r="K158" s="69" t="s">
        <v>746</v>
      </c>
      <c r="L158" s="69" t="s">
        <v>79</v>
      </c>
      <c r="M158" s="69" t="s">
        <v>79</v>
      </c>
      <c r="N158" s="69" t="s">
        <v>744</v>
      </c>
      <c r="O158" s="69" t="s">
        <v>2</v>
      </c>
      <c r="P158" s="69" t="s">
        <v>2</v>
      </c>
      <c r="Q158" s="75" t="s">
        <v>2</v>
      </c>
      <c r="R158" s="69" t="s">
        <v>700</v>
      </c>
      <c r="S158" s="69" t="s">
        <v>699</v>
      </c>
      <c r="T158" s="69" t="s">
        <v>2</v>
      </c>
      <c r="U158" s="95" t="s">
        <v>1119</v>
      </c>
      <c r="V158" s="69" t="s">
        <v>698</v>
      </c>
      <c r="W158" s="70">
        <v>13.3</v>
      </c>
      <c r="X158" s="70">
        <v>22.166666666666668</v>
      </c>
      <c r="Y158" s="75" t="s">
        <v>718</v>
      </c>
      <c r="Z158" s="69" t="s">
        <v>79</v>
      </c>
      <c r="AA158" s="69" t="s">
        <v>714</v>
      </c>
      <c r="AB158" s="69" t="s">
        <v>714</v>
      </c>
      <c r="AC158" s="99" t="s">
        <v>793</v>
      </c>
      <c r="AD158" s="72">
        <f>898*2</f>
        <v>1796</v>
      </c>
      <c r="AE158" s="75" t="s">
        <v>1079</v>
      </c>
      <c r="AF158" s="75" t="s">
        <v>2</v>
      </c>
      <c r="AG158" s="75" t="s">
        <v>809</v>
      </c>
      <c r="AH158" s="75" t="s">
        <v>2</v>
      </c>
      <c r="AI158" s="75" t="s">
        <v>809</v>
      </c>
      <c r="AJ158" s="72" t="str">
        <f>IF(Table13[[#This Row],[Indicative carbon footprint /inhaler (gCO2e) 7,8]]&gt;1796,"High","Low")</f>
        <v>Low</v>
      </c>
      <c r="AK158" s="72" t="s">
        <v>46</v>
      </c>
      <c r="AL158" s="72" t="s">
        <v>46</v>
      </c>
      <c r="AM158" s="70" t="s">
        <v>1048</v>
      </c>
      <c r="AN158" s="69" t="s">
        <v>2</v>
      </c>
      <c r="AO158" s="69" t="s">
        <v>2</v>
      </c>
      <c r="AP158" s="69" t="s">
        <v>2</v>
      </c>
      <c r="AQ158" s="69" t="s">
        <v>2</v>
      </c>
      <c r="AR158" s="74" t="s">
        <v>504</v>
      </c>
      <c r="AS158" s="69" t="s">
        <v>34</v>
      </c>
      <c r="AT158" s="69" t="s">
        <v>506</v>
      </c>
      <c r="AU158" s="69" t="s">
        <v>46</v>
      </c>
      <c r="AV158" s="69" t="s">
        <v>46</v>
      </c>
      <c r="AW158" s="69" t="s">
        <v>46</v>
      </c>
      <c r="AX158" s="69" t="s">
        <v>46</v>
      </c>
      <c r="AY158" s="69" t="s">
        <v>46</v>
      </c>
      <c r="AZ158" s="69" t="s">
        <v>46</v>
      </c>
      <c r="BA158" s="69" t="s">
        <v>46</v>
      </c>
      <c r="BB158" s="69" t="s">
        <v>46</v>
      </c>
      <c r="BC158" s="69" t="s">
        <v>46</v>
      </c>
      <c r="BD158" s="69" t="s">
        <v>46</v>
      </c>
      <c r="BE158" s="69" t="s">
        <v>46</v>
      </c>
      <c r="BF158" s="69" t="s">
        <v>2</v>
      </c>
      <c r="BG158" s="69" t="s">
        <v>2</v>
      </c>
      <c r="BH158" s="69" t="s">
        <v>2</v>
      </c>
      <c r="BI158" s="69" t="s">
        <v>2</v>
      </c>
      <c r="BJ158" s="69" t="s">
        <v>2</v>
      </c>
      <c r="BK158" s="69" t="s">
        <v>2</v>
      </c>
      <c r="BL158" s="69" t="s">
        <v>46</v>
      </c>
      <c r="BM158" s="75" t="s">
        <v>11</v>
      </c>
      <c r="BN158" s="75" t="s">
        <v>2</v>
      </c>
      <c r="BO158" s="72">
        <v>587</v>
      </c>
      <c r="BP158" s="72">
        <v>1796</v>
      </c>
      <c r="BQ158" s="75" t="s">
        <v>11</v>
      </c>
      <c r="BR158" s="72">
        <f>Table13[[#This Row],[Inhaler carbon footprint per inhaler in v2.37 (gCO2e) ]]-Table13[[#This Row],[Inhaler carbon footprint per inhaler in v2.36 (gCO2e) ]]</f>
        <v>1209</v>
      </c>
      <c r="BS158" s="72" t="s">
        <v>1010</v>
      </c>
    </row>
    <row r="159" spans="1:71" ht="125.45" customHeight="1" x14ac:dyDescent="0.25">
      <c r="A159" s="69" t="s">
        <v>502</v>
      </c>
      <c r="B159" s="69" t="s">
        <v>503</v>
      </c>
      <c r="C159" s="69" t="s">
        <v>768</v>
      </c>
      <c r="D159" s="69" t="s">
        <v>5</v>
      </c>
      <c r="E159" s="69" t="s">
        <v>6</v>
      </c>
      <c r="F159" s="69" t="s">
        <v>3</v>
      </c>
      <c r="G159" s="69">
        <v>60</v>
      </c>
      <c r="H159" s="70">
        <v>19</v>
      </c>
      <c r="I159" s="70">
        <f>H159/G159</f>
        <v>0.31666666666666665</v>
      </c>
      <c r="J159" s="69" t="s">
        <v>26</v>
      </c>
      <c r="K159" s="69" t="s">
        <v>240</v>
      </c>
      <c r="L159" s="69" t="s">
        <v>8</v>
      </c>
      <c r="M159" s="69" t="s">
        <v>8</v>
      </c>
      <c r="N159" s="69" t="s">
        <v>2</v>
      </c>
      <c r="O159" s="69" t="s">
        <v>2</v>
      </c>
      <c r="P159" s="69" t="s">
        <v>2</v>
      </c>
      <c r="Q159" s="75" t="s">
        <v>2</v>
      </c>
      <c r="R159" s="69" t="s">
        <v>2</v>
      </c>
      <c r="S159" s="69" t="s">
        <v>700</v>
      </c>
      <c r="T159" s="69" t="s">
        <v>699</v>
      </c>
      <c r="U159" s="75" t="s">
        <v>2</v>
      </c>
      <c r="V159" s="75" t="s">
        <v>2</v>
      </c>
      <c r="W159" s="75" t="s">
        <v>2</v>
      </c>
      <c r="X159" s="75" t="s">
        <v>2</v>
      </c>
      <c r="Y159" s="75" t="s">
        <v>718</v>
      </c>
      <c r="Z159" s="69" t="s">
        <v>79</v>
      </c>
      <c r="AA159" s="69" t="s">
        <v>714</v>
      </c>
      <c r="AB159" s="69" t="s">
        <v>714</v>
      </c>
      <c r="AC159" s="99" t="s">
        <v>793</v>
      </c>
      <c r="AD159" s="72">
        <v>898</v>
      </c>
      <c r="AE159" s="75" t="s">
        <v>1079</v>
      </c>
      <c r="AF159" s="75" t="s">
        <v>2</v>
      </c>
      <c r="AG159" s="75" t="s">
        <v>809</v>
      </c>
      <c r="AH159" s="75" t="s">
        <v>2</v>
      </c>
      <c r="AI159" s="75" t="s">
        <v>809</v>
      </c>
      <c r="AJ159" s="72" t="str">
        <f>IF(Table13[[#This Row],[Indicative carbon footprint /inhaler (gCO2e) 7,8]]&gt;1796,"High","Low")</f>
        <v>Low</v>
      </c>
      <c r="AK159" s="72" t="s">
        <v>46</v>
      </c>
      <c r="AL159" s="72" t="s">
        <v>46</v>
      </c>
      <c r="AM159" s="70" t="s">
        <v>506</v>
      </c>
      <c r="AN159" s="69" t="s">
        <v>2</v>
      </c>
      <c r="AO159" s="69" t="s">
        <v>2</v>
      </c>
      <c r="AP159" s="69" t="s">
        <v>2</v>
      </c>
      <c r="AQ159" s="69" t="s">
        <v>2</v>
      </c>
      <c r="AR159" s="74" t="s">
        <v>505</v>
      </c>
      <c r="AS159" s="69" t="s">
        <v>34</v>
      </c>
      <c r="AT159" s="69" t="s">
        <v>506</v>
      </c>
      <c r="AU159" s="69" t="s">
        <v>46</v>
      </c>
      <c r="AV159" s="69" t="s">
        <v>46</v>
      </c>
      <c r="AW159" s="69" t="s">
        <v>46</v>
      </c>
      <c r="AX159" s="69" t="s">
        <v>46</v>
      </c>
      <c r="AY159" s="69" t="s">
        <v>46</v>
      </c>
      <c r="AZ159" s="69" t="s">
        <v>46</v>
      </c>
      <c r="BA159" s="69" t="s">
        <v>46</v>
      </c>
      <c r="BB159" s="69" t="s">
        <v>46</v>
      </c>
      <c r="BC159" s="69" t="s">
        <v>46</v>
      </c>
      <c r="BD159" s="69" t="s">
        <v>46</v>
      </c>
      <c r="BE159" s="69" t="s">
        <v>46</v>
      </c>
      <c r="BF159" s="69" t="s">
        <v>2</v>
      </c>
      <c r="BG159" s="69" t="s">
        <v>2</v>
      </c>
      <c r="BH159" s="69" t="s">
        <v>2</v>
      </c>
      <c r="BI159" s="69" t="s">
        <v>2</v>
      </c>
      <c r="BJ159" s="69" t="s">
        <v>2</v>
      </c>
      <c r="BK159" s="69" t="s">
        <v>2</v>
      </c>
      <c r="BL159" s="69" t="s">
        <v>46</v>
      </c>
      <c r="BM159" s="75" t="s">
        <v>11</v>
      </c>
      <c r="BN159" s="75" t="s">
        <v>2</v>
      </c>
      <c r="BO159" s="72" t="s">
        <v>997</v>
      </c>
      <c r="BP159" s="72">
        <v>898</v>
      </c>
      <c r="BQ159" s="75" t="s">
        <v>11</v>
      </c>
      <c r="BR159" s="72">
        <f>Table13[[#This Row],[Inhaler carbon footprint per inhaler in v2.37 (gCO2e) ]]-Table13[[#This Row],[Inhaler carbon footprint per inhaler in v2.36 (gCO2e) ]]</f>
        <v>311</v>
      </c>
      <c r="BS159" s="72" t="s">
        <v>1010</v>
      </c>
    </row>
    <row r="160" spans="1:71" x14ac:dyDescent="0.25">
      <c r="A160" s="13"/>
      <c r="B160" s="13"/>
      <c r="C160" s="13"/>
      <c r="D160" s="13"/>
      <c r="E160" s="13"/>
      <c r="F160" s="13"/>
      <c r="G160" s="13"/>
      <c r="H160" s="9"/>
      <c r="I160" s="9"/>
      <c r="J160" s="13"/>
      <c r="K160" s="13"/>
      <c r="L160" s="13"/>
      <c r="M160" s="13"/>
      <c r="N160" s="13"/>
      <c r="O160" s="17"/>
      <c r="P160" s="17"/>
      <c r="Q160" s="17"/>
      <c r="R160" s="17"/>
      <c r="S160" s="17"/>
      <c r="T160" s="17"/>
      <c r="U160" s="17"/>
      <c r="V160" s="17"/>
      <c r="W160" s="17"/>
      <c r="X160" s="17"/>
      <c r="Y160" s="17"/>
      <c r="Z160" s="13"/>
      <c r="AA160" s="13"/>
      <c r="AB160" s="13"/>
      <c r="AC160" s="13"/>
      <c r="AD160" s="14"/>
      <c r="AE160" s="17"/>
      <c r="AF160" s="17"/>
      <c r="AG160" s="17"/>
      <c r="AH160" s="17"/>
      <c r="AI160" s="17"/>
      <c r="AJ160" s="14"/>
      <c r="AK160" s="14"/>
      <c r="AL160" s="15"/>
      <c r="AM160" s="16"/>
      <c r="AN160" s="13"/>
      <c r="AO160" s="13"/>
      <c r="AP160" s="13"/>
      <c r="AQ160" s="14"/>
      <c r="AR160" s="14"/>
      <c r="AS160" s="13"/>
      <c r="AT160" s="13"/>
      <c r="AU160" s="13"/>
      <c r="AV160" s="13"/>
      <c r="AW160" s="13"/>
      <c r="AX160" s="13"/>
      <c r="AY160" s="13"/>
      <c r="AZ160" s="13"/>
      <c r="BA160" s="13"/>
      <c r="BB160" s="13"/>
      <c r="BC160" s="13"/>
      <c r="BD160" s="13"/>
      <c r="BE160" s="13"/>
      <c r="BF160" s="13"/>
      <c r="BG160" s="13"/>
      <c r="BH160" s="13"/>
      <c r="BI160" s="13"/>
      <c r="BJ160" s="13"/>
      <c r="BK160" s="13"/>
      <c r="BL160" s="13"/>
      <c r="BM160" s="17"/>
      <c r="BN160" s="17"/>
      <c r="BO160" s="14"/>
      <c r="BP160" s="14"/>
      <c r="BQ160" s="17"/>
      <c r="BR160" s="14"/>
      <c r="BS160" s="14">
        <f>SUBTOTAL(101,Table13[Change in carbon footprint compared to version 2.1])</f>
        <v>-506.79864130434771</v>
      </c>
    </row>
    <row r="161" spans="1:1" ht="15.75" x14ac:dyDescent="0.25">
      <c r="A161" s="5" t="s">
        <v>1049</v>
      </c>
    </row>
    <row r="162" spans="1:1" ht="52.5" customHeight="1" x14ac:dyDescent="0.25">
      <c r="A162" s="29" t="s">
        <v>1050</v>
      </c>
    </row>
  </sheetData>
  <phoneticPr fontId="3" type="noConversion"/>
  <conditionalFormatting sqref="BQ2">
    <cfRule type="duplicateValues" dxfId="0" priority="1"/>
  </conditionalFormatting>
  <hyperlinks>
    <hyperlink ref="AL86" r:id="rId1" xr:uid="{65F47F20-3722-41F1-A5AD-D164BF880F66}"/>
    <hyperlink ref="AL87" r:id="rId2" xr:uid="{8BACF6B7-F7C9-4D50-B091-BF3C0E1B75C1}"/>
    <hyperlink ref="AL49" r:id="rId3" xr:uid="{53397F76-26DF-4AF7-BED1-F1150571E461}"/>
    <hyperlink ref="AL50" r:id="rId4" xr:uid="{6E78EFDA-3A59-425A-AFF0-2073174C0D26}"/>
    <hyperlink ref="AL51" r:id="rId5" xr:uid="{D3EB425A-42D7-4393-B975-5F56B16D5E6A}"/>
    <hyperlink ref="AL52" r:id="rId6" xr:uid="{8DB469A6-1227-47CD-980C-331A7090033C}"/>
    <hyperlink ref="AL53" r:id="rId7" xr:uid="{ED132716-1066-40CF-A7FA-ACCC7897F1FF}"/>
    <hyperlink ref="AL54" r:id="rId8" xr:uid="{620B1C4D-B757-40C8-928D-D4518C66B49D}"/>
    <hyperlink ref="AL72" r:id="rId9" xr:uid="{66BB655A-1715-44BE-956B-575B660C558C}"/>
    <hyperlink ref="AL73" r:id="rId10" xr:uid="{D7FF21F1-857F-4061-9D89-798EFC2D42DB}"/>
    <hyperlink ref="AL55" r:id="rId11" xr:uid="{3D453D7A-158F-48E9-8A1E-EEB736501CF8}"/>
    <hyperlink ref="AL74" r:id="rId12" xr:uid="{52484E9A-43E8-4B9B-B2CE-1B92F3D964AC}"/>
    <hyperlink ref="AL75" r:id="rId13" xr:uid="{C04B94A5-F924-42E8-8B3D-5BD491E50F5A}"/>
    <hyperlink ref="AL80" r:id="rId14" xr:uid="{05132F1C-8661-4E10-9224-CC4317F8571E}"/>
    <hyperlink ref="AL81" r:id="rId15" xr:uid="{691A8892-8727-4B57-897F-333FBFD433CF}"/>
  </hyperlinks>
  <pageMargins left="0.74803149606299213" right="0.74803149606299213" top="0.98425196850393704" bottom="0.98425196850393704" header="0.51181102362204722" footer="0.51181102362204722"/>
  <pageSetup paperSize="9" scale="65" fitToWidth="0" orientation="landscape" r:id="rId16"/>
  <tableParts count="1">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E08F2-712B-4518-B538-60B9BA8492E0}">
  <dimension ref="A1:E160"/>
  <sheetViews>
    <sheetView topLeftCell="A59" zoomScale="110" zoomScaleNormal="110" workbookViewId="0">
      <selection activeCell="A15" sqref="A15:E18"/>
    </sheetView>
  </sheetViews>
  <sheetFormatPr defaultRowHeight="15.75" x14ac:dyDescent="0.25"/>
  <cols>
    <col min="1" max="1" width="68.125" customWidth="1"/>
    <col min="2" max="2" width="20.375" customWidth="1"/>
    <col min="3" max="3" width="11.5" customWidth="1"/>
    <col min="4" max="4" width="18.125" customWidth="1"/>
    <col min="5" max="5" width="14.25" customWidth="1"/>
  </cols>
  <sheetData>
    <row r="1" spans="1:5" ht="47.25" x14ac:dyDescent="0.25">
      <c r="A1" s="40" t="s">
        <v>1016</v>
      </c>
      <c r="B1" s="40" t="str">
        <f>Table13[[#Headers],[Device type1]]</f>
        <v>Device type1</v>
      </c>
      <c r="C1" s="40" t="str">
        <f>Table13[[#Headers],[Doses per inhaler1,2]]</f>
        <v>Doses per inhaler1,2</v>
      </c>
      <c r="D1" s="41" t="str">
        <f>Table13[[#Headers],[Indicative carbon footprint /inhaler (gCO2e) 7,8]]</f>
        <v>Indicative carbon footprint /inhaler (gCO2e) 7,8</v>
      </c>
      <c r="E1" s="41" t="s">
        <v>437</v>
      </c>
    </row>
    <row r="2" spans="1:5" x14ac:dyDescent="0.25">
      <c r="A2" s="75" t="s">
        <v>1014</v>
      </c>
      <c r="B2" s="75" t="s">
        <v>3</v>
      </c>
      <c r="C2" s="75" t="s">
        <v>623</v>
      </c>
      <c r="D2" s="72">
        <v>282</v>
      </c>
      <c r="E2" s="70">
        <v>19.989999999999998</v>
      </c>
    </row>
    <row r="3" spans="1:5" x14ac:dyDescent="0.25">
      <c r="A3" s="75" t="s">
        <v>1014</v>
      </c>
      <c r="B3" s="75" t="s">
        <v>3</v>
      </c>
      <c r="C3" s="75" t="s">
        <v>789</v>
      </c>
      <c r="D3" s="72">
        <v>282</v>
      </c>
      <c r="E3" s="70">
        <v>39.979999999999997</v>
      </c>
    </row>
    <row r="4" spans="1:5" x14ac:dyDescent="0.25">
      <c r="A4" s="69" t="s">
        <v>283</v>
      </c>
      <c r="B4" s="69" t="s">
        <v>3</v>
      </c>
      <c r="C4" s="69">
        <v>60</v>
      </c>
      <c r="D4" s="72">
        <v>898</v>
      </c>
      <c r="E4" s="70">
        <v>29.97</v>
      </c>
    </row>
    <row r="5" spans="1:5" x14ac:dyDescent="0.25">
      <c r="A5" s="69" t="s">
        <v>284</v>
      </c>
      <c r="B5" s="69" t="s">
        <v>13</v>
      </c>
      <c r="C5" s="69">
        <v>120</v>
      </c>
      <c r="D5" s="72">
        <f>Table13[[#This Row],[Carbon footprint per inhaler attributed to propellant PrescQIPP calculated as gCO2e (from PIL or as assigned in the methodology)11-13]]</f>
        <v>17875</v>
      </c>
      <c r="E5" s="70">
        <v>16.420000000000002</v>
      </c>
    </row>
    <row r="6" spans="1:5" x14ac:dyDescent="0.25">
      <c r="A6" s="69" t="s">
        <v>285</v>
      </c>
      <c r="B6" s="69" t="s">
        <v>13</v>
      </c>
      <c r="C6" s="69">
        <v>120</v>
      </c>
      <c r="D6" s="72">
        <f>Table13[[#This Row],[Carbon footprint per inhaler attributed to propellant PrescQIPP calculated as gCO2e (from PIL or as assigned in the methodology)11-13]]</f>
        <v>17875</v>
      </c>
      <c r="E6" s="70">
        <v>20.52</v>
      </c>
    </row>
    <row r="7" spans="1:5" x14ac:dyDescent="0.25">
      <c r="A7" s="69" t="s">
        <v>1100</v>
      </c>
      <c r="B7" s="69" t="s">
        <v>13</v>
      </c>
      <c r="C7" s="69">
        <v>200</v>
      </c>
      <c r="D7" s="72">
        <f>Table13[[#This Row],[Carbon footprint per inhaler attributed to propellant PrescQIPP calculated as gCO2e (from PIL or as assigned in the methodology)11-13]]</f>
        <v>10353.200000000001</v>
      </c>
      <c r="E7" s="70">
        <v>1.97</v>
      </c>
    </row>
    <row r="8" spans="1:5" ht="30" x14ac:dyDescent="0.25">
      <c r="A8" s="69" t="s">
        <v>287</v>
      </c>
      <c r="B8" s="69" t="s">
        <v>127</v>
      </c>
      <c r="C8" s="69">
        <v>200</v>
      </c>
      <c r="D8" s="72">
        <f>Table13[[#This Row],[Carbon footprint per inhaler attributed to propellant PrescQIPP calculated as gCO2e (from PIL or as assigned in the methodology)11-13]]</f>
        <v>10353.200000000001</v>
      </c>
      <c r="E8" s="70">
        <v>6.02</v>
      </c>
    </row>
    <row r="9" spans="1:5" x14ac:dyDescent="0.25">
      <c r="A9" s="69" t="s">
        <v>288</v>
      </c>
      <c r="B9" s="69" t="s">
        <v>13</v>
      </c>
      <c r="C9" s="69">
        <v>120</v>
      </c>
      <c r="D9" s="72">
        <f>Table13[[#This Row],[Carbon footprint per inhaler attributed to propellant PrescQIPP calculated as gCO2e (from PIL or as assigned in the methodology)11-13]]</f>
        <v>17516.07</v>
      </c>
      <c r="E9" s="70">
        <v>22.45</v>
      </c>
    </row>
    <row r="10" spans="1:5" x14ac:dyDescent="0.25">
      <c r="A10" s="69" t="s">
        <v>289</v>
      </c>
      <c r="B10" s="69" t="s">
        <v>13</v>
      </c>
      <c r="C10" s="69">
        <v>120</v>
      </c>
      <c r="D10" s="72">
        <f>Table13[[#This Row],[Carbon footprint per inhaler attributed to propellant PrescQIPP calculated as gCO2e (from PIL or as assigned in the methodology)11-13]]</f>
        <v>17486.04</v>
      </c>
      <c r="E10" s="70">
        <v>28.32</v>
      </c>
    </row>
    <row r="11" spans="1:5" x14ac:dyDescent="0.25">
      <c r="A11" s="69" t="s">
        <v>290</v>
      </c>
      <c r="B11" s="69" t="s">
        <v>13</v>
      </c>
      <c r="C11" s="69">
        <v>120</v>
      </c>
      <c r="D11" s="72">
        <f>Table13[[#This Row],[Carbon footprint per inhaler attributed to propellant PrescQIPP calculated as gCO2e (from PIL or as assigned in the methodology)11-13]]</f>
        <v>12584.000000000002</v>
      </c>
      <c r="E11" s="70">
        <v>38.619999999999997</v>
      </c>
    </row>
    <row r="12" spans="1:5" x14ac:dyDescent="0.25">
      <c r="A12" s="29" t="s">
        <v>1167</v>
      </c>
      <c r="B12" s="29" t="s">
        <v>13</v>
      </c>
      <c r="C12" s="29">
        <v>60</v>
      </c>
      <c r="D12" s="30">
        <f>Table13[[#This Row],[Carbon footprint per inhaler attributed to propellant PrescQIPP calculated as gCO2e (from PIL or as assigned in the methodology)11-13]]</f>
        <v>7993.7</v>
      </c>
      <c r="E12" s="47">
        <v>19.309999999999999</v>
      </c>
    </row>
    <row r="13" spans="1:5" x14ac:dyDescent="0.25">
      <c r="A13" s="69" t="s">
        <v>292</v>
      </c>
      <c r="B13" s="69" t="s">
        <v>13</v>
      </c>
      <c r="C13" s="69">
        <v>120</v>
      </c>
      <c r="D13" s="72">
        <f>Table13[[#This Row],[Carbon footprint per inhaler attributed to propellant PrescQIPP calculated as gCO2e (from PIL or as assigned in the methodology)11-13]]</f>
        <v>12612.6</v>
      </c>
      <c r="E13" s="70">
        <v>32.83</v>
      </c>
    </row>
    <row r="14" spans="1:5" ht="30" x14ac:dyDescent="0.25">
      <c r="A14" s="69" t="s">
        <v>29</v>
      </c>
      <c r="B14" s="69" t="s">
        <v>3</v>
      </c>
      <c r="C14" s="69">
        <v>30</v>
      </c>
      <c r="D14" s="72">
        <v>747</v>
      </c>
      <c r="E14" s="70">
        <v>32.5</v>
      </c>
    </row>
    <row r="15" spans="1:5" x14ac:dyDescent="0.25">
      <c r="A15" s="29" t="s">
        <v>1176</v>
      </c>
      <c r="B15" s="29" t="s">
        <v>3</v>
      </c>
      <c r="C15" s="29">
        <v>60</v>
      </c>
      <c r="D15" s="30">
        <v>667</v>
      </c>
      <c r="E15" s="47">
        <v>23.54</v>
      </c>
    </row>
    <row r="16" spans="1:5" x14ac:dyDescent="0.25">
      <c r="A16" s="29" t="s">
        <v>1170</v>
      </c>
      <c r="B16" s="29" t="s">
        <v>3</v>
      </c>
      <c r="C16" s="29">
        <v>30</v>
      </c>
      <c r="D16" s="30">
        <v>667</v>
      </c>
      <c r="E16" s="47">
        <v>15.7</v>
      </c>
    </row>
    <row r="17" spans="1:5" x14ac:dyDescent="0.25">
      <c r="A17" s="29" t="s">
        <v>1171</v>
      </c>
      <c r="B17" s="29" t="s">
        <v>3</v>
      </c>
      <c r="C17" s="29">
        <v>60</v>
      </c>
      <c r="D17" s="30">
        <v>667</v>
      </c>
      <c r="E17" s="47">
        <v>36.049999999999997</v>
      </c>
    </row>
    <row r="18" spans="1:5" x14ac:dyDescent="0.25">
      <c r="A18" s="29" t="s">
        <v>1171</v>
      </c>
      <c r="B18" s="29" t="s">
        <v>3</v>
      </c>
      <c r="C18" s="29">
        <v>30</v>
      </c>
      <c r="D18" s="30">
        <v>667</v>
      </c>
      <c r="E18" s="47">
        <v>21.78</v>
      </c>
    </row>
    <row r="19" spans="1:5" x14ac:dyDescent="0.25">
      <c r="A19" s="29" t="s">
        <v>1157</v>
      </c>
      <c r="B19" s="29" t="s">
        <v>13</v>
      </c>
      <c r="C19" s="29">
        <v>200</v>
      </c>
      <c r="D19" s="29">
        <f>1430*17.8</f>
        <v>25454</v>
      </c>
      <c r="E19" s="47">
        <v>1.5</v>
      </c>
    </row>
    <row r="20" spans="1:5" x14ac:dyDescent="0.25">
      <c r="A20" s="69" t="s">
        <v>296</v>
      </c>
      <c r="B20" s="69" t="s">
        <v>13</v>
      </c>
      <c r="C20" s="69">
        <v>100</v>
      </c>
      <c r="D20" s="72">
        <f>Table13[[#This Row],[Carbon footprint per inhaler attributed to propellant PrescQIPP calculated as gCO2e (from PIL or as assigned in the methodology)11-13]]</f>
        <v>12994.41</v>
      </c>
      <c r="E20" s="70">
        <v>30.06</v>
      </c>
    </row>
    <row r="21" spans="1:5" x14ac:dyDescent="0.25">
      <c r="A21" s="69" t="s">
        <v>298</v>
      </c>
      <c r="B21" s="69" t="s">
        <v>13</v>
      </c>
      <c r="C21" s="69">
        <v>200</v>
      </c>
      <c r="D21" s="72">
        <f>Table13[[#This Row],[Carbon footprint per inhaler attributed to propellant PrescQIPP calculated as gCO2e (from PIL or as assigned in the methodology)11-13]]</f>
        <v>17631.900000000001</v>
      </c>
      <c r="E21" s="70">
        <v>5.56</v>
      </c>
    </row>
    <row r="22" spans="1:5" x14ac:dyDescent="0.25">
      <c r="A22" s="69" t="s">
        <v>593</v>
      </c>
      <c r="B22" s="69" t="s">
        <v>13</v>
      </c>
      <c r="C22" s="69">
        <v>120</v>
      </c>
      <c r="D22" s="72">
        <f>Table13[[#This Row],[Carbon footprint per inhaler attributed to propellant PrescQIPP calculated as gCO2e (from PIL or as assigned in the methodology)11-13]]</f>
        <v>17160</v>
      </c>
      <c r="E22" s="70">
        <v>10.33</v>
      </c>
    </row>
    <row r="23" spans="1:5" x14ac:dyDescent="0.25">
      <c r="A23" s="69" t="s">
        <v>594</v>
      </c>
      <c r="B23" s="69" t="s">
        <v>13</v>
      </c>
      <c r="C23" s="69">
        <v>120</v>
      </c>
      <c r="D23" s="72">
        <f>Table13[[#This Row],[Carbon footprint per inhaler attributed to propellant PrescQIPP calculated as gCO2e (from PIL or as assigned in the methodology)11-13]]</f>
        <v>17160</v>
      </c>
      <c r="E23" s="70">
        <v>13.66</v>
      </c>
    </row>
    <row r="24" spans="1:5" x14ac:dyDescent="0.25">
      <c r="A24" s="69" t="s">
        <v>591</v>
      </c>
      <c r="B24" s="69" t="s">
        <v>13</v>
      </c>
      <c r="C24" s="69">
        <v>120</v>
      </c>
      <c r="D24" s="72">
        <f>D118</f>
        <v>17160</v>
      </c>
      <c r="E24" s="70">
        <v>12.99</v>
      </c>
    </row>
    <row r="25" spans="1:5" ht="30" x14ac:dyDescent="0.25">
      <c r="A25" s="69" t="s">
        <v>1101</v>
      </c>
      <c r="B25" s="69" t="s">
        <v>13</v>
      </c>
      <c r="C25" s="69">
        <v>200</v>
      </c>
      <c r="D25" s="72">
        <f>Table13[[#This Row],[Carbon footprint per inhaler attributed to propellant PrescQIPP calculated as gCO2e (from PIL or as assigned in the methodology)11-13]]</f>
        <v>17346</v>
      </c>
      <c r="E25" s="70">
        <v>5.19</v>
      </c>
    </row>
    <row r="26" spans="1:5" ht="30" x14ac:dyDescent="0.25">
      <c r="A26" s="69" t="s">
        <v>1102</v>
      </c>
      <c r="B26" s="69" t="s">
        <v>13</v>
      </c>
      <c r="C26" s="69">
        <v>200</v>
      </c>
      <c r="D26" s="72">
        <f>Table13[[#This Row],[Carbon footprint per inhaler attributed to propellant PrescQIPP calculated as gCO2e (from PIL or as assigned in the methodology)11-13]]</f>
        <v>17089</v>
      </c>
      <c r="E26" s="70">
        <v>11.31</v>
      </c>
    </row>
    <row r="27" spans="1:5" x14ac:dyDescent="0.25">
      <c r="A27" s="69" t="s">
        <v>52</v>
      </c>
      <c r="B27" s="69" t="s">
        <v>13</v>
      </c>
      <c r="C27" s="69">
        <v>120</v>
      </c>
      <c r="D27" s="72">
        <f>Table13[[#This Row],[Carbon footprint per inhaler attributed to propellant PrescQIPP calculated as gCO2e (from PIL or as assigned in the methodology)11-13]]</f>
        <v>15158</v>
      </c>
      <c r="E27" s="70">
        <v>32.5</v>
      </c>
    </row>
    <row r="28" spans="1:5" x14ac:dyDescent="0.25">
      <c r="A28" s="69" t="s">
        <v>636</v>
      </c>
      <c r="B28" s="69" t="s">
        <v>13</v>
      </c>
      <c r="C28" s="69">
        <v>120</v>
      </c>
      <c r="D28" s="72">
        <f>Table13[[#This Row],[Carbon footprint per inhaler attributed to propellant PrescQIPP calculated as gCO2e (from PIL or as assigned in the methodology)11-13]]</f>
        <v>11654.5</v>
      </c>
      <c r="E28" s="70">
        <v>13.98</v>
      </c>
    </row>
    <row r="29" spans="1:5" x14ac:dyDescent="0.25">
      <c r="A29" s="69" t="s">
        <v>637</v>
      </c>
      <c r="B29" s="69" t="s">
        <v>13</v>
      </c>
      <c r="C29" s="69">
        <v>120</v>
      </c>
      <c r="D29" s="72">
        <f>Table13[[#This Row],[Carbon footprint per inhaler attributed to propellant PrescQIPP calculated as gCO2e (from PIL or as assigned in the methodology)11-13]]</f>
        <v>14643.2</v>
      </c>
      <c r="E29" s="70">
        <v>13.98</v>
      </c>
    </row>
    <row r="30" spans="1:5" x14ac:dyDescent="0.25">
      <c r="A30" s="69" t="s">
        <v>897</v>
      </c>
      <c r="B30" s="69" t="s">
        <v>3</v>
      </c>
      <c r="C30" s="69">
        <v>30</v>
      </c>
      <c r="D30" s="72">
        <v>282</v>
      </c>
      <c r="E30" s="70">
        <v>25.8</v>
      </c>
    </row>
    <row r="31" spans="1:5" x14ac:dyDescent="0.25">
      <c r="A31" s="69" t="s">
        <v>300</v>
      </c>
      <c r="B31" s="69" t="s">
        <v>3</v>
      </c>
      <c r="C31" s="69">
        <v>120</v>
      </c>
      <c r="D31" s="72">
        <v>492</v>
      </c>
      <c r="E31" s="70">
        <v>8.3000000000000007</v>
      </c>
    </row>
    <row r="32" spans="1:5" x14ac:dyDescent="0.25">
      <c r="A32" s="69" t="s">
        <v>1105</v>
      </c>
      <c r="B32" s="69" t="s">
        <v>3</v>
      </c>
      <c r="C32" s="69">
        <v>100</v>
      </c>
      <c r="D32" s="72">
        <v>667</v>
      </c>
      <c r="E32" s="70">
        <v>9.59</v>
      </c>
    </row>
    <row r="33" spans="1:5" x14ac:dyDescent="0.25">
      <c r="A33" s="69" t="s">
        <v>1106</v>
      </c>
      <c r="B33" s="69" t="s">
        <v>3</v>
      </c>
      <c r="C33" s="69">
        <v>100</v>
      </c>
      <c r="D33" s="72">
        <v>667</v>
      </c>
      <c r="E33" s="70">
        <v>14.86</v>
      </c>
    </row>
    <row r="34" spans="1:5" ht="30" x14ac:dyDescent="0.25">
      <c r="A34" s="69" t="s">
        <v>1110</v>
      </c>
      <c r="B34" s="69" t="s">
        <v>3</v>
      </c>
      <c r="C34" s="69">
        <v>60</v>
      </c>
      <c r="D34" s="72">
        <v>898</v>
      </c>
      <c r="E34" s="70">
        <v>7.95</v>
      </c>
    </row>
    <row r="35" spans="1:5" ht="30" x14ac:dyDescent="0.25">
      <c r="A35" s="69" t="s">
        <v>1111</v>
      </c>
      <c r="B35" s="69" t="s">
        <v>3</v>
      </c>
      <c r="C35" s="69">
        <v>60</v>
      </c>
      <c r="D35" s="72">
        <v>898</v>
      </c>
      <c r="E35" s="70">
        <v>8.9499999999999993</v>
      </c>
    </row>
    <row r="36" spans="1:5" ht="30" x14ac:dyDescent="0.25">
      <c r="A36" s="69" t="s">
        <v>1112</v>
      </c>
      <c r="B36" s="69" t="s">
        <v>3</v>
      </c>
      <c r="C36" s="69">
        <v>60</v>
      </c>
      <c r="D36" s="72">
        <v>898</v>
      </c>
      <c r="E36" s="70">
        <v>9.9499999999999993</v>
      </c>
    </row>
    <row r="37" spans="1:5" x14ac:dyDescent="0.25">
      <c r="A37" s="69" t="s">
        <v>686</v>
      </c>
      <c r="B37" s="69" t="s">
        <v>13</v>
      </c>
      <c r="C37" s="69">
        <v>120</v>
      </c>
      <c r="D37" s="72">
        <f>Table13[[#This Row],[Carbon footprint per inhaler attributed to propellant PrescQIPP calculated as gCO2e (from PIL or as assigned in the methodology)11-13]]</f>
        <v>12584.000000000002</v>
      </c>
      <c r="E37" s="70">
        <v>34.76</v>
      </c>
    </row>
    <row r="38" spans="1:5" x14ac:dyDescent="0.25">
      <c r="A38" s="69" t="s">
        <v>687</v>
      </c>
      <c r="B38" s="69" t="s">
        <v>13</v>
      </c>
      <c r="C38" s="69">
        <v>120</v>
      </c>
      <c r="D38" s="72">
        <f>Table13[[#This Row],[Carbon footprint per inhaler attributed to propellant PrescQIPP calculated as gCO2e (from PIL or as assigned in the methodology)11-13]]</f>
        <v>12584.000000000002</v>
      </c>
      <c r="E38" s="70">
        <v>29.55</v>
      </c>
    </row>
    <row r="39" spans="1:5" x14ac:dyDescent="0.25">
      <c r="A39" s="69" t="s">
        <v>304</v>
      </c>
      <c r="B39" s="69" t="s">
        <v>13</v>
      </c>
      <c r="C39" s="69">
        <v>200</v>
      </c>
      <c r="D39" s="72">
        <f>Table13[[#This Row],[Carbon footprint per inhaler attributed to propellant PrescQIPP calculated as gCO2e (from PIL or as assigned in the methodology)11-13]]</f>
        <v>17345.900000000001</v>
      </c>
      <c r="E39" s="70">
        <v>7.42</v>
      </c>
    </row>
    <row r="40" spans="1:5" x14ac:dyDescent="0.25">
      <c r="A40" s="69" t="s">
        <v>306</v>
      </c>
      <c r="B40" s="69" t="s">
        <v>13</v>
      </c>
      <c r="C40" s="69">
        <v>200</v>
      </c>
      <c r="D40" s="72">
        <f>Table13[[#This Row],[Carbon footprint per inhaler attributed to propellant PrescQIPP calculated as gCO2e (from PIL or as assigned in the methodology)11-13]]</f>
        <v>17088.5</v>
      </c>
      <c r="E40" s="70">
        <v>16.170000000000002</v>
      </c>
    </row>
    <row r="41" spans="1:5" x14ac:dyDescent="0.25">
      <c r="A41" s="69" t="s">
        <v>308</v>
      </c>
      <c r="B41" s="69" t="s">
        <v>13</v>
      </c>
      <c r="C41" s="69">
        <v>200</v>
      </c>
      <c r="D41" s="72">
        <f>Table13[[#This Row],[Carbon footprint per inhaler attributed to propellant PrescQIPP calculated as gCO2e (from PIL or as assigned in the methodology)11-13]]</f>
        <v>16845.399999999998</v>
      </c>
      <c r="E41" s="70">
        <v>16.29</v>
      </c>
    </row>
    <row r="42" spans="1:5" x14ac:dyDescent="0.25">
      <c r="A42" s="69" t="s">
        <v>310</v>
      </c>
      <c r="B42" s="69" t="s">
        <v>13</v>
      </c>
      <c r="C42" s="69">
        <v>200</v>
      </c>
      <c r="D42" s="72">
        <f>Table13[[#This Row],[Carbon footprint per inhaler attributed to propellant PrescQIPP calculated as gCO2e (from PIL or as assigned in the methodology)11-13]]</f>
        <v>17345.900000000001</v>
      </c>
      <c r="E42" s="70">
        <v>3.7</v>
      </c>
    </row>
    <row r="43" spans="1:5" x14ac:dyDescent="0.25">
      <c r="A43" s="69" t="s">
        <v>312</v>
      </c>
      <c r="B43" s="69" t="s">
        <v>13</v>
      </c>
      <c r="C43" s="69">
        <v>120</v>
      </c>
      <c r="D43" s="72">
        <f>Table13[[#This Row],[Carbon footprint per inhaler attributed to propellant PrescQIPP calculated as gCO2e (from PIL or as assigned in the methodology)11-13]]</f>
        <v>16015.999999999998</v>
      </c>
      <c r="E43" s="70">
        <v>10.48</v>
      </c>
    </row>
    <row r="44" spans="1:5" x14ac:dyDescent="0.25">
      <c r="A44" s="69" t="s">
        <v>313</v>
      </c>
      <c r="B44" s="69" t="s">
        <v>13</v>
      </c>
      <c r="C44" s="69">
        <v>120</v>
      </c>
      <c r="D44" s="72">
        <f>Table13[[#This Row],[Carbon footprint per inhaler attributed to propellant PrescQIPP calculated as gCO2e (from PIL or as assigned in the methodology)11-13]]</f>
        <v>16015.999999999998</v>
      </c>
      <c r="E44" s="70">
        <v>13.99</v>
      </c>
    </row>
    <row r="45" spans="1:5" x14ac:dyDescent="0.25">
      <c r="A45" s="69" t="s">
        <v>314</v>
      </c>
      <c r="B45" s="69" t="s">
        <v>13</v>
      </c>
      <c r="C45" s="69">
        <v>120</v>
      </c>
      <c r="D45" s="72">
        <f>Table13[[#This Row],[Carbon footprint per inhaler attributed to propellant PrescQIPP calculated as gCO2e (from PIL or as assigned in the methodology)11-13]]</f>
        <v>16015.999999999998</v>
      </c>
      <c r="E45" s="70">
        <v>13.5</v>
      </c>
    </row>
    <row r="46" spans="1:5" x14ac:dyDescent="0.25">
      <c r="A46" s="69" t="s">
        <v>655</v>
      </c>
      <c r="B46" s="69" t="s">
        <v>3</v>
      </c>
      <c r="C46" s="69">
        <v>60</v>
      </c>
      <c r="D46" s="72">
        <v>550.20000000000005</v>
      </c>
      <c r="E46" s="70">
        <v>32.5</v>
      </c>
    </row>
    <row r="47" spans="1:5" x14ac:dyDescent="0.25">
      <c r="A47" s="69" t="s">
        <v>315</v>
      </c>
      <c r="B47" s="69" t="s">
        <v>3</v>
      </c>
      <c r="C47" s="69">
        <v>120</v>
      </c>
      <c r="D47" s="72">
        <v>630</v>
      </c>
      <c r="E47" s="70">
        <v>27.97</v>
      </c>
    </row>
    <row r="48" spans="1:5" x14ac:dyDescent="0.25">
      <c r="A48" s="69" t="s">
        <v>316</v>
      </c>
      <c r="B48" s="69" t="s">
        <v>3</v>
      </c>
      <c r="C48" s="69">
        <v>60</v>
      </c>
      <c r="D48" s="72">
        <v>630</v>
      </c>
      <c r="E48" s="70">
        <v>27.97</v>
      </c>
    </row>
    <row r="49" spans="1:5" x14ac:dyDescent="0.25">
      <c r="A49" s="69" t="s">
        <v>317</v>
      </c>
      <c r="B49" s="69" t="s">
        <v>3</v>
      </c>
      <c r="C49" s="69">
        <v>200</v>
      </c>
      <c r="D49" s="72">
        <v>524.03</v>
      </c>
      <c r="E49" s="70">
        <v>14.93</v>
      </c>
    </row>
    <row r="50" spans="1:5" x14ac:dyDescent="0.25">
      <c r="A50" s="69" t="s">
        <v>319</v>
      </c>
      <c r="B50" s="69" t="s">
        <v>3</v>
      </c>
      <c r="C50" s="69">
        <v>200</v>
      </c>
      <c r="D50" s="72">
        <v>404.95</v>
      </c>
      <c r="E50" s="70">
        <v>8.86</v>
      </c>
    </row>
    <row r="51" spans="1:5" x14ac:dyDescent="0.25">
      <c r="A51" s="69" t="s">
        <v>321</v>
      </c>
      <c r="B51" s="69" t="s">
        <v>3</v>
      </c>
      <c r="C51" s="69">
        <v>200</v>
      </c>
      <c r="D51" s="72">
        <v>404.95</v>
      </c>
      <c r="E51" s="70">
        <v>17.71</v>
      </c>
    </row>
    <row r="52" spans="1:5" x14ac:dyDescent="0.25">
      <c r="A52" s="69" t="s">
        <v>323</v>
      </c>
      <c r="B52" s="69" t="s">
        <v>3</v>
      </c>
      <c r="C52" s="69">
        <v>100</v>
      </c>
      <c r="D52" s="72">
        <v>404.95</v>
      </c>
      <c r="E52" s="70">
        <v>17.71</v>
      </c>
    </row>
    <row r="53" spans="1:5" x14ac:dyDescent="0.25">
      <c r="A53" s="69" t="s">
        <v>325</v>
      </c>
      <c r="B53" s="69" t="s">
        <v>3</v>
      </c>
      <c r="C53" s="69">
        <v>120</v>
      </c>
      <c r="D53" s="72">
        <v>460.16</v>
      </c>
      <c r="E53" s="70">
        <v>23.75</v>
      </c>
    </row>
    <row r="54" spans="1:5" x14ac:dyDescent="0.25">
      <c r="A54" s="69" t="s">
        <v>327</v>
      </c>
      <c r="B54" s="69" t="s">
        <v>3</v>
      </c>
      <c r="C54" s="69">
        <v>200</v>
      </c>
      <c r="D54" s="72">
        <v>532.88</v>
      </c>
      <c r="E54" s="70">
        <v>3.31</v>
      </c>
    </row>
    <row r="55" spans="1:5" x14ac:dyDescent="0.25">
      <c r="A55" s="69" t="s">
        <v>328</v>
      </c>
      <c r="B55" s="69" t="s">
        <v>3</v>
      </c>
      <c r="C55" s="69">
        <v>200</v>
      </c>
      <c r="D55" s="72">
        <v>532.88</v>
      </c>
      <c r="E55" s="70">
        <v>6.63</v>
      </c>
    </row>
    <row r="56" spans="1:5" x14ac:dyDescent="0.25">
      <c r="A56" s="69" t="s">
        <v>329</v>
      </c>
      <c r="B56" s="69" t="s">
        <v>3</v>
      </c>
      <c r="C56" s="69">
        <v>60</v>
      </c>
      <c r="D56" s="72">
        <v>520.20000000000005</v>
      </c>
      <c r="E56" s="70">
        <v>32.5</v>
      </c>
    </row>
    <row r="57" spans="1:5" x14ac:dyDescent="0.25">
      <c r="A57" s="69" t="s">
        <v>1129</v>
      </c>
      <c r="B57" s="69" t="s">
        <v>3</v>
      </c>
      <c r="C57" s="69">
        <v>30</v>
      </c>
      <c r="D57" s="72">
        <v>499</v>
      </c>
      <c r="E57" s="70">
        <v>44.5</v>
      </c>
    </row>
    <row r="58" spans="1:5" x14ac:dyDescent="0.25">
      <c r="A58" s="69" t="s">
        <v>97</v>
      </c>
      <c r="B58" s="69" t="s">
        <v>3</v>
      </c>
      <c r="C58" s="69">
        <v>30</v>
      </c>
      <c r="D58" s="72">
        <v>382</v>
      </c>
      <c r="E58" s="70">
        <v>44.5</v>
      </c>
    </row>
    <row r="59" spans="1:5" ht="30" x14ac:dyDescent="0.25">
      <c r="A59" s="69" t="s">
        <v>430</v>
      </c>
      <c r="B59" s="69" t="s">
        <v>3</v>
      </c>
      <c r="C59" s="69">
        <v>60</v>
      </c>
      <c r="D59" s="72">
        <v>898</v>
      </c>
      <c r="E59" s="70">
        <v>14.47</v>
      </c>
    </row>
    <row r="60" spans="1:5" ht="30" x14ac:dyDescent="0.25">
      <c r="A60" s="69" t="s">
        <v>431</v>
      </c>
      <c r="B60" s="69" t="s">
        <v>3</v>
      </c>
      <c r="C60" s="69">
        <v>60</v>
      </c>
      <c r="D60" s="72">
        <v>898</v>
      </c>
      <c r="E60" s="70">
        <v>19.29</v>
      </c>
    </row>
    <row r="61" spans="1:5" ht="30" x14ac:dyDescent="0.25">
      <c r="A61" s="69" t="s">
        <v>432</v>
      </c>
      <c r="B61" s="69" t="s">
        <v>3</v>
      </c>
      <c r="C61" s="69">
        <v>60</v>
      </c>
      <c r="D61" s="72">
        <v>898</v>
      </c>
      <c r="E61" s="70">
        <v>16.12</v>
      </c>
    </row>
    <row r="62" spans="1:5" x14ac:dyDescent="0.25">
      <c r="A62" s="69" t="s">
        <v>99</v>
      </c>
      <c r="B62" s="69" t="s">
        <v>3</v>
      </c>
      <c r="C62" s="69">
        <v>60</v>
      </c>
      <c r="D62" s="72">
        <v>833</v>
      </c>
      <c r="E62" s="70">
        <v>8</v>
      </c>
    </row>
    <row r="63" spans="1:5" x14ac:dyDescent="0.25">
      <c r="A63" s="69" t="s">
        <v>102</v>
      </c>
      <c r="B63" s="69" t="s">
        <v>3</v>
      </c>
      <c r="C63" s="69">
        <v>60</v>
      </c>
      <c r="D63" s="72">
        <v>833</v>
      </c>
      <c r="E63" s="70">
        <v>25.51</v>
      </c>
    </row>
    <row r="64" spans="1:5" x14ac:dyDescent="0.25">
      <c r="A64" s="69" t="s">
        <v>105</v>
      </c>
      <c r="B64" s="69" t="s">
        <v>3</v>
      </c>
      <c r="C64" s="69">
        <v>60</v>
      </c>
      <c r="D64" s="72">
        <v>833</v>
      </c>
      <c r="E64" s="70">
        <v>4</v>
      </c>
    </row>
    <row r="65" spans="1:5" x14ac:dyDescent="0.25">
      <c r="A65" s="69" t="s">
        <v>107</v>
      </c>
      <c r="B65" s="69" t="s">
        <v>3</v>
      </c>
      <c r="C65" s="69">
        <v>60</v>
      </c>
      <c r="D65" s="72">
        <v>833</v>
      </c>
      <c r="E65" s="70">
        <v>43.37</v>
      </c>
    </row>
    <row r="66" spans="1:5" x14ac:dyDescent="0.25">
      <c r="A66" s="69" t="s">
        <v>780</v>
      </c>
      <c r="B66" s="69" t="s">
        <v>13</v>
      </c>
      <c r="C66" s="69">
        <v>120</v>
      </c>
      <c r="D66" s="72">
        <f>Table13[[#This Row],[Carbon footprint per inhaler attributed to propellant PrescQIPP calculated as gCO2e (from PIL or as assigned in the methodology)11-13]]</f>
        <v>17160</v>
      </c>
      <c r="E66" s="70">
        <v>21.26</v>
      </c>
    </row>
    <row r="67" spans="1:5" x14ac:dyDescent="0.25">
      <c r="A67" s="69" t="s">
        <v>111</v>
      </c>
      <c r="B67" s="69" t="s">
        <v>13</v>
      </c>
      <c r="C67" s="69">
        <v>120</v>
      </c>
      <c r="D67" s="72">
        <f>Table13[[#This Row],[Carbon footprint per inhaler attributed to propellant PrescQIPP calculated as gCO2e (from PIL or as assigned in the methodology)11-13]]</f>
        <v>17160</v>
      </c>
      <c r="E67" s="70">
        <v>36.14</v>
      </c>
    </row>
    <row r="68" spans="1:5" x14ac:dyDescent="0.25">
      <c r="A68" s="69" t="s">
        <v>113</v>
      </c>
      <c r="B68" s="69" t="s">
        <v>13</v>
      </c>
      <c r="C68" s="69">
        <v>120</v>
      </c>
      <c r="D68" s="72">
        <f>Table13[[#This Row],[Carbon footprint per inhaler attributed to propellant PrescQIPP calculated as gCO2e (from PIL or as assigned in the methodology)11-13]]</f>
        <v>15158</v>
      </c>
      <c r="E68" s="70">
        <v>6.53</v>
      </c>
    </row>
    <row r="69" spans="1:5" x14ac:dyDescent="0.25">
      <c r="A69" s="69" t="s">
        <v>337</v>
      </c>
      <c r="B69" s="69" t="s">
        <v>13</v>
      </c>
      <c r="C69" s="69">
        <v>120</v>
      </c>
      <c r="D69" s="72">
        <f>Table13[[#This Row],[Carbon footprint per inhaler attributed to propellant PrescQIPP calculated as gCO2e (from PIL or as assigned in the methodology)11-13]]</f>
        <v>36064</v>
      </c>
      <c r="E69" s="70">
        <v>28</v>
      </c>
    </row>
    <row r="70" spans="1:5" x14ac:dyDescent="0.25">
      <c r="A70" s="69" t="s">
        <v>395</v>
      </c>
      <c r="B70" s="69" t="s">
        <v>13</v>
      </c>
      <c r="C70" s="69">
        <v>120</v>
      </c>
      <c r="D70" s="72">
        <f>Table13[[#This Row],[Carbon footprint per inhaler attributed to propellant PrescQIPP calculated as gCO2e (from PIL or as assigned in the methodology)11-13]]</f>
        <v>36064</v>
      </c>
      <c r="E70" s="70">
        <v>45.56</v>
      </c>
    </row>
    <row r="71" spans="1:5" x14ac:dyDescent="0.25">
      <c r="A71" s="69" t="s">
        <v>338</v>
      </c>
      <c r="B71" s="69" t="s">
        <v>13</v>
      </c>
      <c r="C71" s="69">
        <v>120</v>
      </c>
      <c r="D71" s="72">
        <f>Table13[[#This Row],[Carbon footprint per inhaler attributed to propellant PrescQIPP calculated as gCO2e (from PIL or as assigned in the methodology)11-13]]</f>
        <v>36064</v>
      </c>
      <c r="E71" s="70">
        <v>14.4</v>
      </c>
    </row>
    <row r="72" spans="1:5" x14ac:dyDescent="0.25">
      <c r="A72" s="69" t="s">
        <v>339</v>
      </c>
      <c r="B72" s="69" t="s">
        <v>3</v>
      </c>
      <c r="C72" s="69">
        <v>120</v>
      </c>
      <c r="D72" s="72">
        <v>403.48</v>
      </c>
      <c r="E72" s="70">
        <v>21.5</v>
      </c>
    </row>
    <row r="73" spans="1:5" x14ac:dyDescent="0.25">
      <c r="A73" s="69" t="s">
        <v>339</v>
      </c>
      <c r="B73" s="69" t="s">
        <v>3</v>
      </c>
      <c r="C73" s="69">
        <v>60</v>
      </c>
      <c r="D73" s="72">
        <v>403.48</v>
      </c>
      <c r="E73" s="70">
        <v>10.75</v>
      </c>
    </row>
    <row r="74" spans="1:5" x14ac:dyDescent="0.25">
      <c r="A74" s="69" t="s">
        <v>340</v>
      </c>
      <c r="B74" s="69" t="s">
        <v>3</v>
      </c>
      <c r="C74" s="69">
        <v>60</v>
      </c>
      <c r="D74" s="72">
        <v>403.48</v>
      </c>
      <c r="E74" s="70">
        <v>21.5</v>
      </c>
    </row>
    <row r="75" spans="1:5" x14ac:dyDescent="0.25">
      <c r="A75" s="69" t="s">
        <v>341</v>
      </c>
      <c r="B75" s="69" t="s">
        <v>3</v>
      </c>
      <c r="C75" s="69">
        <v>120</v>
      </c>
      <c r="D75" s="72">
        <v>403.48</v>
      </c>
      <c r="E75" s="70">
        <v>21.5</v>
      </c>
    </row>
    <row r="76" spans="1:5" x14ac:dyDescent="0.25">
      <c r="A76" s="69" t="s">
        <v>342</v>
      </c>
      <c r="B76" s="69" t="s">
        <v>13</v>
      </c>
      <c r="C76" s="69">
        <v>120</v>
      </c>
      <c r="D76" s="72">
        <f>Table13[[#This Row],[Carbon footprint per inhaler attributed to propellant PrescQIPP calculated as gCO2e (from PIL or as assigned in the methodology)11-13]]</f>
        <v>11650.210000000001</v>
      </c>
      <c r="E76" s="70">
        <v>29.32</v>
      </c>
    </row>
    <row r="77" spans="1:5" x14ac:dyDescent="0.25">
      <c r="A77" s="69" t="s">
        <v>343</v>
      </c>
      <c r="B77" s="69" t="s">
        <v>13</v>
      </c>
      <c r="C77" s="69">
        <v>120</v>
      </c>
      <c r="D77" s="72">
        <f>Table13[[#This Row],[Carbon footprint per inhaler attributed to propellant PrescQIPP calculated as gCO2e (from PIL or as assigned in the methodology)11-13]]</f>
        <v>14809.08</v>
      </c>
      <c r="E77" s="70">
        <v>29.32</v>
      </c>
    </row>
    <row r="78" spans="1:5" x14ac:dyDescent="0.25">
      <c r="A78" s="69" t="s">
        <v>344</v>
      </c>
      <c r="B78" s="69" t="s">
        <v>3</v>
      </c>
      <c r="C78" s="69">
        <v>120</v>
      </c>
      <c r="D78" s="72">
        <v>889.2</v>
      </c>
      <c r="E78" s="70">
        <v>29.32</v>
      </c>
    </row>
    <row r="79" spans="1:5" x14ac:dyDescent="0.25">
      <c r="A79" s="69" t="s">
        <v>396</v>
      </c>
      <c r="B79" s="69" t="s">
        <v>3</v>
      </c>
      <c r="C79" s="69">
        <v>120</v>
      </c>
      <c r="D79" s="72">
        <v>890.4</v>
      </c>
      <c r="E79" s="70">
        <v>29.32</v>
      </c>
    </row>
    <row r="80" spans="1:5" x14ac:dyDescent="0.25">
      <c r="A80" s="69" t="s">
        <v>345</v>
      </c>
      <c r="B80" s="69" t="s">
        <v>3</v>
      </c>
      <c r="C80" s="69">
        <v>60</v>
      </c>
      <c r="D80" s="72">
        <v>487.71</v>
      </c>
      <c r="E80" s="70">
        <v>21.5</v>
      </c>
    </row>
    <row r="81" spans="1:5" x14ac:dyDescent="0.25">
      <c r="A81" s="69" t="s">
        <v>346</v>
      </c>
      <c r="B81" s="69" t="s">
        <v>3</v>
      </c>
      <c r="C81" s="69">
        <v>60</v>
      </c>
      <c r="D81" s="72">
        <v>487.71</v>
      </c>
      <c r="E81" s="70">
        <v>26.99</v>
      </c>
    </row>
    <row r="82" spans="1:5" x14ac:dyDescent="0.25">
      <c r="A82" s="69" t="s">
        <v>140</v>
      </c>
      <c r="B82" s="69" t="s">
        <v>3</v>
      </c>
      <c r="C82" s="69">
        <v>30</v>
      </c>
      <c r="D82" s="72">
        <v>731</v>
      </c>
      <c r="E82" s="70">
        <v>27.5</v>
      </c>
    </row>
    <row r="83" spans="1:5" x14ac:dyDescent="0.25">
      <c r="A83" s="69" t="s">
        <v>142</v>
      </c>
      <c r="B83" s="69" t="s">
        <v>13</v>
      </c>
      <c r="C83" s="69">
        <v>200</v>
      </c>
      <c r="D83" s="72">
        <f>Table13[[#This Row],[Carbon footprint per inhaler attributed to propellant PrescQIPP calculated as gCO2e (from PIL or as assigned in the methodology)11-13]]</f>
        <v>17632</v>
      </c>
      <c r="E83" s="70">
        <v>5.56</v>
      </c>
    </row>
    <row r="84" spans="1:5" x14ac:dyDescent="0.25">
      <c r="A84" s="69" t="s">
        <v>347</v>
      </c>
      <c r="B84" s="69" t="s">
        <v>13</v>
      </c>
      <c r="C84" s="69">
        <v>200</v>
      </c>
      <c r="D84" s="72">
        <f>Table13[[#This Row],[Carbon footprint per inhaler attributed to propellant PrescQIPP calculated as gCO2e (from PIL or as assigned in the methodology)11-13]]</f>
        <v>19019</v>
      </c>
      <c r="E84" s="70">
        <v>5.2</v>
      </c>
    </row>
    <row r="85" spans="1:5" x14ac:dyDescent="0.25">
      <c r="A85" s="69" t="s">
        <v>348</v>
      </c>
      <c r="B85" s="69" t="s">
        <v>13</v>
      </c>
      <c r="C85" s="69">
        <v>200</v>
      </c>
      <c r="D85" s="72">
        <f>Table13[[#This Row],[Carbon footprint per inhaler attributed to propellant PrescQIPP calculated as gCO2e (from PIL or as assigned in the methodology)11-13]]</f>
        <v>19162</v>
      </c>
      <c r="E85" s="70">
        <v>5.2</v>
      </c>
    </row>
    <row r="86" spans="1:5" x14ac:dyDescent="0.25">
      <c r="A86" s="69" t="s">
        <v>542</v>
      </c>
      <c r="B86" s="69" t="s">
        <v>13</v>
      </c>
      <c r="C86" s="69">
        <v>120</v>
      </c>
      <c r="D86" s="72">
        <f>Table13[[#This Row],[Carbon footprint per inhaler attributed to propellant PrescQIPP calculated as gCO2e (from PIL or as assigned in the methodology)11-13]]</f>
        <v>11611.599999999999</v>
      </c>
      <c r="E86" s="70">
        <v>13.98</v>
      </c>
    </row>
    <row r="87" spans="1:5" x14ac:dyDescent="0.25">
      <c r="A87" s="69" t="s">
        <v>616</v>
      </c>
      <c r="B87" s="69" t="s">
        <v>13</v>
      </c>
      <c r="C87" s="69">
        <v>120</v>
      </c>
      <c r="D87" s="72">
        <f>Table13[[#This Row],[Carbon footprint per inhaler attributed to propellant PrescQIPP calculated as gCO2e (from PIL or as assigned in the methodology)11-13]]</f>
        <v>14717.56</v>
      </c>
      <c r="E87" s="70">
        <v>13.98</v>
      </c>
    </row>
    <row r="88" spans="1:5" x14ac:dyDescent="0.25">
      <c r="A88" s="69" t="s">
        <v>349</v>
      </c>
      <c r="B88" s="69" t="s">
        <v>3</v>
      </c>
      <c r="C88" s="69">
        <v>30</v>
      </c>
      <c r="D88" s="72">
        <v>667</v>
      </c>
      <c r="E88" s="70">
        <v>32.19</v>
      </c>
    </row>
    <row r="89" spans="1:5" x14ac:dyDescent="0.25">
      <c r="A89" s="69" t="s">
        <v>350</v>
      </c>
      <c r="B89" s="69" t="s">
        <v>3</v>
      </c>
      <c r="C89" s="69">
        <v>30</v>
      </c>
      <c r="D89" s="72">
        <v>667</v>
      </c>
      <c r="E89" s="70">
        <v>32.19</v>
      </c>
    </row>
    <row r="90" spans="1:5" x14ac:dyDescent="0.25">
      <c r="A90" s="69" t="s">
        <v>351</v>
      </c>
      <c r="B90" s="69" t="s">
        <v>3</v>
      </c>
      <c r="C90" s="69">
        <v>60</v>
      </c>
      <c r="D90" s="72">
        <v>370.2</v>
      </c>
      <c r="E90" s="70">
        <v>24.8</v>
      </c>
    </row>
    <row r="91" spans="1:5" x14ac:dyDescent="0.25">
      <c r="A91" s="69" t="s">
        <v>352</v>
      </c>
      <c r="B91" s="69" t="s">
        <v>3</v>
      </c>
      <c r="C91" s="69">
        <v>60</v>
      </c>
      <c r="D91" s="72">
        <v>360</v>
      </c>
      <c r="E91" s="70">
        <v>24.8</v>
      </c>
    </row>
    <row r="92" spans="1:5" x14ac:dyDescent="0.25">
      <c r="A92" s="69" t="s">
        <v>738</v>
      </c>
      <c r="B92" s="69" t="s">
        <v>13</v>
      </c>
      <c r="C92" s="69">
        <v>120</v>
      </c>
      <c r="D92" s="72">
        <f>Table13[[#This Row],[Carbon footprint per inhaler attributed to propellant PrescQIPP calculated as gCO2e (from PIL or as assigned in the methodology)11-13]]</f>
        <v>11654.5</v>
      </c>
      <c r="E92" s="70">
        <v>9.9</v>
      </c>
    </row>
    <row r="93" spans="1:5" x14ac:dyDescent="0.25">
      <c r="A93" s="69" t="s">
        <v>739</v>
      </c>
      <c r="B93" s="69" t="s">
        <v>13</v>
      </c>
      <c r="C93" s="69">
        <v>120</v>
      </c>
      <c r="D93" s="72">
        <f>Table13[[#This Row],[Carbon footprint per inhaler attributed to propellant PrescQIPP calculated as gCO2e (from PIL or as assigned in the methodology)11-13]]</f>
        <v>14800.5</v>
      </c>
      <c r="E93" s="70">
        <v>9.9</v>
      </c>
    </row>
    <row r="94" spans="1:5" x14ac:dyDescent="0.25">
      <c r="A94" s="69" t="s">
        <v>354</v>
      </c>
      <c r="B94" s="69" t="s">
        <v>3</v>
      </c>
      <c r="C94" s="69">
        <v>200</v>
      </c>
      <c r="D94" s="72">
        <v>1400</v>
      </c>
      <c r="E94" s="70">
        <v>14.25</v>
      </c>
    </row>
    <row r="95" spans="1:5" x14ac:dyDescent="0.25">
      <c r="A95" s="69" t="s">
        <v>355</v>
      </c>
      <c r="B95" s="69" t="s">
        <v>3</v>
      </c>
      <c r="C95" s="69">
        <v>100</v>
      </c>
      <c r="D95" s="72">
        <v>1400</v>
      </c>
      <c r="E95" s="70">
        <v>14.25</v>
      </c>
    </row>
    <row r="96" spans="1:5" x14ac:dyDescent="0.25">
      <c r="A96" s="69" t="s">
        <v>356</v>
      </c>
      <c r="B96" s="69" t="s">
        <v>3</v>
      </c>
      <c r="C96" s="69">
        <v>50</v>
      </c>
      <c r="D96" s="72">
        <v>1700</v>
      </c>
      <c r="E96" s="70">
        <v>14.25</v>
      </c>
    </row>
    <row r="97" spans="1:5" x14ac:dyDescent="0.25">
      <c r="A97" s="69" t="s">
        <v>357</v>
      </c>
      <c r="B97" s="69" t="s">
        <v>13</v>
      </c>
      <c r="C97" s="69">
        <v>200</v>
      </c>
      <c r="D97" s="72">
        <f>Table13[[#This Row],[Carbon footprint per inhaler attributed to propellant PrescQIPP calculated as gCO2e (from PIL or as assigned in the methodology)11-13]]</f>
        <v>18775.900000000001</v>
      </c>
      <c r="E97" s="70">
        <v>17.21</v>
      </c>
    </row>
    <row r="98" spans="1:5" x14ac:dyDescent="0.25">
      <c r="A98" s="69" t="s">
        <v>358</v>
      </c>
      <c r="B98" s="69" t="s">
        <v>13</v>
      </c>
      <c r="C98" s="69">
        <v>200</v>
      </c>
      <c r="D98" s="72">
        <f>Table13[[#This Row],[Carbon footprint per inhaler attributed to propellant PrescQIPP calculated as gCO2e (from PIL or as assigned in the methodology)11-13]]</f>
        <v>18790.2</v>
      </c>
      <c r="E98" s="70">
        <v>7.87</v>
      </c>
    </row>
    <row r="99" spans="1:5" ht="30" x14ac:dyDescent="0.25">
      <c r="A99" s="69" t="s">
        <v>359</v>
      </c>
      <c r="B99" s="69" t="s">
        <v>127</v>
      </c>
      <c r="C99" s="69">
        <v>200</v>
      </c>
      <c r="D99" s="72">
        <f>Table13[[#This Row],[Carbon footprint per inhaler attributed to propellant PrescQIPP calculated as gCO2e (from PIL or as assigned in the methodology)11-13]]</f>
        <v>18775.900000000001</v>
      </c>
      <c r="E99" s="70">
        <v>17.21</v>
      </c>
    </row>
    <row r="100" spans="1:5" ht="30" x14ac:dyDescent="0.25">
      <c r="A100" s="69" t="s">
        <v>360</v>
      </c>
      <c r="B100" s="69" t="s">
        <v>127</v>
      </c>
      <c r="C100" s="69">
        <v>200</v>
      </c>
      <c r="D100" s="72">
        <f>Table13[[#This Row],[Carbon footprint per inhaler attributed to propellant PrescQIPP calculated as gCO2e (from PIL or as assigned in the methodology)11-13]]</f>
        <v>18790.2</v>
      </c>
      <c r="E100" s="70">
        <v>7.87</v>
      </c>
    </row>
    <row r="101" spans="1:5" ht="30" x14ac:dyDescent="0.25">
      <c r="A101" s="69" t="s">
        <v>361</v>
      </c>
      <c r="B101" s="69" t="s">
        <v>127</v>
      </c>
      <c r="C101" s="69">
        <v>200</v>
      </c>
      <c r="D101" s="72">
        <f>Table13[[#This Row],[Carbon footprint per inhaler attributed to propellant PrescQIPP calculated as gCO2e (from PIL or as assigned in the methodology)11-13]]</f>
        <v>25668.5</v>
      </c>
      <c r="E101" s="70">
        <v>16.95</v>
      </c>
    </row>
    <row r="102" spans="1:5" ht="30" x14ac:dyDescent="0.25">
      <c r="A102" s="69" t="s">
        <v>362</v>
      </c>
      <c r="B102" s="69" t="s">
        <v>127</v>
      </c>
      <c r="C102" s="69">
        <v>200</v>
      </c>
      <c r="D102" s="72">
        <f>Table13[[#This Row],[Carbon footprint per inhaler attributed to propellant PrescQIPP calculated as gCO2e (from PIL or as assigned in the methodology)11-13]]</f>
        <v>26034.579999999998</v>
      </c>
      <c r="E102" s="70">
        <v>7.74</v>
      </c>
    </row>
    <row r="103" spans="1:5" x14ac:dyDescent="0.25">
      <c r="A103" s="69" t="s">
        <v>187</v>
      </c>
      <c r="B103" s="69" t="s">
        <v>3</v>
      </c>
      <c r="C103" s="69">
        <v>30</v>
      </c>
      <c r="D103" s="72">
        <v>754</v>
      </c>
      <c r="E103" s="70">
        <v>29.5</v>
      </c>
    </row>
    <row r="104" spans="1:5" x14ac:dyDescent="0.25">
      <c r="A104" s="69" t="s">
        <v>189</v>
      </c>
      <c r="B104" s="69" t="s">
        <v>3</v>
      </c>
      <c r="C104" s="69">
        <v>30</v>
      </c>
      <c r="D104" s="72">
        <v>754</v>
      </c>
      <c r="E104" s="70">
        <v>22</v>
      </c>
    </row>
    <row r="105" spans="1:5" x14ac:dyDescent="0.25">
      <c r="A105" s="69" t="s">
        <v>363</v>
      </c>
      <c r="B105" s="69" t="s">
        <v>13</v>
      </c>
      <c r="C105" s="69">
        <v>200</v>
      </c>
      <c r="D105" s="72">
        <f>Table13[[#This Row],[Carbon footprint per inhaler attributed to propellant PrescQIPP calculated as gCO2e (from PIL or as assigned in the methodology)11-13]]</f>
        <v>10725</v>
      </c>
      <c r="E105" s="70">
        <v>1.46</v>
      </c>
    </row>
    <row r="106" spans="1:5" ht="30" x14ac:dyDescent="0.25">
      <c r="A106" s="69" t="s">
        <v>364</v>
      </c>
      <c r="B106" s="69" t="s">
        <v>127</v>
      </c>
      <c r="C106" s="69">
        <v>200</v>
      </c>
      <c r="D106" s="72">
        <f>Table13[[#This Row],[Carbon footprint per inhaler attributed to propellant PrescQIPP calculated as gCO2e (from PIL or as assigned in the methodology)11-13]]</f>
        <v>10725</v>
      </c>
      <c r="E106" s="70">
        <v>6.3</v>
      </c>
    </row>
    <row r="107" spans="1:5" x14ac:dyDescent="0.25">
      <c r="A107" s="69" t="s">
        <v>1107</v>
      </c>
      <c r="B107" s="69" t="s">
        <v>3</v>
      </c>
      <c r="C107" s="69">
        <v>200</v>
      </c>
      <c r="D107" s="72">
        <v>667</v>
      </c>
      <c r="E107" s="70">
        <v>2.75</v>
      </c>
    </row>
    <row r="108" spans="1:5" x14ac:dyDescent="0.25">
      <c r="A108" s="69" t="s">
        <v>1108</v>
      </c>
      <c r="B108" s="69" t="s">
        <v>3</v>
      </c>
      <c r="C108" s="69">
        <v>200</v>
      </c>
      <c r="D108" s="72">
        <v>667</v>
      </c>
      <c r="E108" s="70">
        <v>4.95</v>
      </c>
    </row>
    <row r="109" spans="1:5" x14ac:dyDescent="0.25">
      <c r="A109" s="69" t="s">
        <v>367</v>
      </c>
      <c r="B109" s="69" t="s">
        <v>3</v>
      </c>
      <c r="C109" s="69">
        <v>30</v>
      </c>
      <c r="D109" s="72">
        <v>667</v>
      </c>
      <c r="E109" s="70">
        <v>27.5</v>
      </c>
    </row>
    <row r="110" spans="1:5" x14ac:dyDescent="0.25">
      <c r="A110" s="69" t="s">
        <v>368</v>
      </c>
      <c r="B110" s="69" t="s">
        <v>13</v>
      </c>
      <c r="C110" s="69">
        <v>120</v>
      </c>
      <c r="D110" s="72">
        <f>Table13[[#This Row],[Carbon footprint per inhaler attributed to propellant PrescQIPP calculated as gCO2e (from PIL or as assigned in the methodology)11-13]]</f>
        <v>17875</v>
      </c>
      <c r="E110" s="70">
        <v>14.99</v>
      </c>
    </row>
    <row r="111" spans="1:5" x14ac:dyDescent="0.25">
      <c r="A111" s="69" t="s">
        <v>369</v>
      </c>
      <c r="B111" s="69" t="s">
        <v>13</v>
      </c>
      <c r="C111" s="69">
        <v>120</v>
      </c>
      <c r="D111" s="72">
        <f>Table13[[#This Row],[Carbon footprint per inhaler attributed to propellant PrescQIPP calculated as gCO2e (from PIL or as assigned in the methodology)11-13]]</f>
        <v>17875</v>
      </c>
      <c r="E111" s="70">
        <v>19.989999999999998</v>
      </c>
    </row>
    <row r="112" spans="1:5" x14ac:dyDescent="0.25">
      <c r="A112" s="69" t="s">
        <v>645</v>
      </c>
      <c r="B112" s="69" t="s">
        <v>3</v>
      </c>
      <c r="C112" s="69">
        <v>60</v>
      </c>
      <c r="D112" s="72">
        <v>898</v>
      </c>
      <c r="E112" s="70">
        <v>10.99</v>
      </c>
    </row>
    <row r="113" spans="1:5" x14ac:dyDescent="0.25">
      <c r="A113" s="69" t="s">
        <v>647</v>
      </c>
      <c r="B113" s="69" t="s">
        <v>3</v>
      </c>
      <c r="C113" s="69">
        <v>60</v>
      </c>
      <c r="D113" s="72">
        <v>898</v>
      </c>
      <c r="E113" s="70">
        <v>10.99</v>
      </c>
    </row>
    <row r="114" spans="1:5" x14ac:dyDescent="0.25">
      <c r="A114" s="69" t="s">
        <v>370</v>
      </c>
      <c r="B114" s="69" t="s">
        <v>3</v>
      </c>
      <c r="C114" s="69">
        <v>60</v>
      </c>
      <c r="D114" s="72">
        <v>898</v>
      </c>
      <c r="E114" s="70">
        <v>17.46</v>
      </c>
    </row>
    <row r="115" spans="1:5" x14ac:dyDescent="0.25">
      <c r="A115" s="69" t="s">
        <v>371</v>
      </c>
      <c r="B115" s="69" t="s">
        <v>3</v>
      </c>
      <c r="C115" s="69">
        <v>60</v>
      </c>
      <c r="D115" s="72">
        <v>898</v>
      </c>
      <c r="E115" s="70">
        <v>33.950000000000003</v>
      </c>
    </row>
    <row r="116" spans="1:5" x14ac:dyDescent="0.25">
      <c r="A116" s="69" t="s">
        <v>372</v>
      </c>
      <c r="B116" s="69" t="s">
        <v>3</v>
      </c>
      <c r="C116" s="69">
        <v>60</v>
      </c>
      <c r="D116" s="72">
        <v>898</v>
      </c>
      <c r="E116" s="70">
        <v>32.74</v>
      </c>
    </row>
    <row r="117" spans="1:5" x14ac:dyDescent="0.25">
      <c r="A117" s="69" t="s">
        <v>373</v>
      </c>
      <c r="B117" s="69" t="s">
        <v>13</v>
      </c>
      <c r="C117" s="69">
        <v>120</v>
      </c>
      <c r="D117" s="72">
        <f>Table13[[#This Row],[Carbon footprint per inhaler attributed to propellant PrescQIPP calculated as gCO2e (from PIL or as assigned in the methodology)11-13]]</f>
        <v>17160</v>
      </c>
      <c r="E117" s="70">
        <v>23.45</v>
      </c>
    </row>
    <row r="118" spans="1:5" x14ac:dyDescent="0.25">
      <c r="A118" s="69" t="s">
        <v>374</v>
      </c>
      <c r="B118" s="69" t="s">
        <v>13</v>
      </c>
      <c r="C118" s="69">
        <v>120</v>
      </c>
      <c r="D118" s="72">
        <f>Table13[[#This Row],[Carbon footprint per inhaler attributed to propellant PrescQIPP calculated as gCO2e (from PIL or as assigned in the methodology)11-13]]</f>
        <v>17160</v>
      </c>
      <c r="E118" s="70">
        <v>29.32</v>
      </c>
    </row>
    <row r="119" spans="1:5" x14ac:dyDescent="0.25">
      <c r="A119" s="69" t="s">
        <v>375</v>
      </c>
      <c r="B119" s="69" t="s">
        <v>13</v>
      </c>
      <c r="C119" s="69">
        <v>120</v>
      </c>
      <c r="D119" s="72">
        <f>Table13[[#This Row],[Carbon footprint per inhaler attributed to propellant PrescQIPP calculated as gCO2e (from PIL or as assigned in the methodology)11-13]]</f>
        <v>17160</v>
      </c>
      <c r="E119" s="70">
        <v>17.46</v>
      </c>
    </row>
    <row r="120" spans="1:5" x14ac:dyDescent="0.25">
      <c r="A120" s="69" t="s">
        <v>376</v>
      </c>
      <c r="B120" s="69" t="s">
        <v>3</v>
      </c>
      <c r="C120" s="69">
        <v>60</v>
      </c>
      <c r="D120" s="72">
        <v>732</v>
      </c>
      <c r="E120" s="70">
        <v>35.11</v>
      </c>
    </row>
    <row r="121" spans="1:5" x14ac:dyDescent="0.25">
      <c r="A121" s="69" t="s">
        <v>378</v>
      </c>
      <c r="B121" s="69" t="s">
        <v>13</v>
      </c>
      <c r="C121" s="69">
        <v>120</v>
      </c>
      <c r="D121" s="72">
        <f>Table13[[#This Row],[Carbon footprint per inhaler attributed to propellant PrescQIPP calculated as gCO2e (from PIL or as assigned in the methodology)11-13]]</f>
        <v>17160</v>
      </c>
      <c r="E121" s="70">
        <v>29.26</v>
      </c>
    </row>
    <row r="122" spans="1:5" x14ac:dyDescent="0.25">
      <c r="A122" s="69" t="s">
        <v>380</v>
      </c>
      <c r="B122" s="69" t="s">
        <v>13</v>
      </c>
      <c r="C122" s="69">
        <v>120</v>
      </c>
      <c r="D122" s="72">
        <f>Table13[[#This Row],[Carbon footprint per inhaler attributed to propellant PrescQIPP calculated as gCO2e (from PIL or as assigned in the methodology)11-13]]</f>
        <v>17516.07</v>
      </c>
      <c r="E122" s="70">
        <v>22.45</v>
      </c>
    </row>
    <row r="123" spans="1:5" x14ac:dyDescent="0.25">
      <c r="A123" s="69" t="s">
        <v>381</v>
      </c>
      <c r="B123" s="69" t="s">
        <v>13</v>
      </c>
      <c r="C123" s="69">
        <v>120</v>
      </c>
      <c r="D123" s="72">
        <f>Table13[[#This Row],[Carbon footprint per inhaler attributed to propellant PrescQIPP calculated as gCO2e (from PIL or as assigned in the methodology)11-13]]</f>
        <v>17486.04</v>
      </c>
      <c r="E123" s="70">
        <v>28.32</v>
      </c>
    </row>
    <row r="124" spans="1:5" x14ac:dyDescent="0.25">
      <c r="A124" s="69" t="s">
        <v>382</v>
      </c>
      <c r="B124" s="69" t="s">
        <v>13</v>
      </c>
      <c r="C124" s="69">
        <v>120</v>
      </c>
      <c r="D124" s="72">
        <f>Table13[[#This Row],[Carbon footprint per inhaler attributed to propellant PrescQIPP calculated as gCO2e (from PIL or as assigned in the methodology)11-13]]</f>
        <v>17875</v>
      </c>
      <c r="E124" s="70">
        <v>19.95</v>
      </c>
    </row>
    <row r="125" spans="1:5" x14ac:dyDescent="0.25">
      <c r="A125" s="69" t="s">
        <v>214</v>
      </c>
      <c r="B125" s="69" t="s">
        <v>13</v>
      </c>
      <c r="C125" s="69">
        <v>200</v>
      </c>
      <c r="D125" s="72">
        <f>Table13[[#This Row],[Carbon footprint per inhaler attributed to propellant PrescQIPP calculated as gCO2e (from PIL or as assigned in the methodology)11-13]]</f>
        <v>16868.28</v>
      </c>
      <c r="E125" s="70">
        <v>4.82</v>
      </c>
    </row>
    <row r="126" spans="1:5" x14ac:dyDescent="0.25">
      <c r="A126" s="69" t="s">
        <v>219</v>
      </c>
      <c r="B126" s="69" t="s">
        <v>13</v>
      </c>
      <c r="C126" s="69">
        <v>200</v>
      </c>
      <c r="D126" s="72">
        <f>Table13[[#This Row],[Carbon footprint per inhaler attributed to propellant PrescQIPP calculated as gCO2e (from PIL or as assigned in the methodology)11-13]]</f>
        <v>16636.62</v>
      </c>
      <c r="E126" s="70">
        <v>10.51</v>
      </c>
    </row>
    <row r="127" spans="1:5" x14ac:dyDescent="0.25">
      <c r="A127" s="69" t="s">
        <v>222</v>
      </c>
      <c r="B127" s="69" t="s">
        <v>13</v>
      </c>
      <c r="C127" s="69">
        <v>200</v>
      </c>
      <c r="D127" s="72">
        <f>Table13[[#This Row],[Carbon footprint per inhaler attributed to propellant PrescQIPP calculated as gCO2e (from PIL or as assigned in the methodology)11-13]]</f>
        <v>16422.12</v>
      </c>
      <c r="E127" s="70">
        <v>10.59</v>
      </c>
    </row>
    <row r="128" spans="1:5" x14ac:dyDescent="0.25">
      <c r="A128" s="69" t="s">
        <v>224</v>
      </c>
      <c r="B128" s="69" t="s">
        <v>13</v>
      </c>
      <c r="C128" s="69">
        <v>200</v>
      </c>
      <c r="D128" s="72">
        <f>Table13[[#This Row],[Carbon footprint per inhaler attributed to propellant PrescQIPP calculated as gCO2e (from PIL or as assigned in the methodology)11-13]]</f>
        <v>16885.439999999999</v>
      </c>
      <c r="E128" s="70">
        <v>2.41</v>
      </c>
    </row>
    <row r="129" spans="1:5" ht="30" x14ac:dyDescent="0.25">
      <c r="A129" s="69" t="s">
        <v>491</v>
      </c>
      <c r="B129" s="69" t="s">
        <v>226</v>
      </c>
      <c r="C129" s="69">
        <v>60</v>
      </c>
      <c r="D129" s="72">
        <v>775</v>
      </c>
      <c r="E129" s="70">
        <v>32.5</v>
      </c>
    </row>
    <row r="130" spans="1:5" ht="30" x14ac:dyDescent="0.25">
      <c r="A130" s="69" t="s">
        <v>494</v>
      </c>
      <c r="B130" s="69" t="s">
        <v>226</v>
      </c>
      <c r="C130" s="69">
        <v>60</v>
      </c>
      <c r="D130" s="72">
        <v>230</v>
      </c>
      <c r="E130" s="70">
        <v>32.5</v>
      </c>
    </row>
    <row r="131" spans="1:5" x14ac:dyDescent="0.25">
      <c r="A131" s="69" t="s">
        <v>384</v>
      </c>
      <c r="B131" s="69" t="s">
        <v>3</v>
      </c>
      <c r="C131" s="69">
        <v>30</v>
      </c>
      <c r="D131" s="72">
        <v>92</v>
      </c>
      <c r="E131" s="70">
        <v>33.5</v>
      </c>
    </row>
    <row r="132" spans="1:5" x14ac:dyDescent="0.25">
      <c r="A132" s="69" t="s">
        <v>482</v>
      </c>
      <c r="B132" s="69" t="s">
        <v>3</v>
      </c>
      <c r="C132" s="69">
        <v>30</v>
      </c>
      <c r="D132" s="72">
        <v>282</v>
      </c>
      <c r="E132" s="70">
        <v>34.869999999999997</v>
      </c>
    </row>
    <row r="133" spans="1:5" x14ac:dyDescent="0.25">
      <c r="A133" s="69" t="s">
        <v>496</v>
      </c>
      <c r="B133" s="69" t="s">
        <v>226</v>
      </c>
      <c r="C133" s="69">
        <v>60</v>
      </c>
      <c r="D133" s="72">
        <v>775</v>
      </c>
      <c r="E133" s="70">
        <v>23</v>
      </c>
    </row>
    <row r="134" spans="1:5" x14ac:dyDescent="0.25">
      <c r="A134" s="69" t="s">
        <v>495</v>
      </c>
      <c r="B134" s="69" t="s">
        <v>226</v>
      </c>
      <c r="C134" s="69">
        <v>60</v>
      </c>
      <c r="D134" s="72">
        <v>230</v>
      </c>
      <c r="E134" s="70">
        <v>23</v>
      </c>
    </row>
    <row r="135" spans="1:5" x14ac:dyDescent="0.25">
      <c r="A135" s="69" t="s">
        <v>386</v>
      </c>
      <c r="B135" s="69" t="s">
        <v>3</v>
      </c>
      <c r="C135" s="69">
        <v>60</v>
      </c>
      <c r="D135" s="72">
        <v>898</v>
      </c>
      <c r="E135" s="70">
        <v>16.12</v>
      </c>
    </row>
    <row r="136" spans="1:5" ht="30" x14ac:dyDescent="0.25">
      <c r="A136" s="69" t="s">
        <v>497</v>
      </c>
      <c r="B136" s="69" t="s">
        <v>226</v>
      </c>
      <c r="C136" s="69">
        <v>60</v>
      </c>
      <c r="D136" s="72">
        <v>775</v>
      </c>
      <c r="E136" s="70">
        <v>26.35</v>
      </c>
    </row>
    <row r="137" spans="1:5" x14ac:dyDescent="0.25">
      <c r="A137" s="69" t="s">
        <v>485</v>
      </c>
      <c r="B137" s="69" t="s">
        <v>226</v>
      </c>
      <c r="C137" s="69">
        <v>60</v>
      </c>
      <c r="D137" s="72">
        <v>230</v>
      </c>
      <c r="E137" s="70">
        <v>26.35</v>
      </c>
    </row>
    <row r="138" spans="1:5" x14ac:dyDescent="0.25">
      <c r="A138" s="69" t="s">
        <v>387</v>
      </c>
      <c r="B138" s="69" t="s">
        <v>13</v>
      </c>
      <c r="C138" s="69">
        <v>120</v>
      </c>
      <c r="D138" s="72" t="str">
        <f>Table13[[#This Row],[Carbon footprint per inhaler attributed to propellant PrescQIPP calculated as gCO2e (from PIL or as assigned in the methodology)11-13]]</f>
        <v>No data available</v>
      </c>
      <c r="E138" s="70">
        <v>14</v>
      </c>
    </row>
    <row r="139" spans="1:5" x14ac:dyDescent="0.25">
      <c r="A139" s="69" t="s">
        <v>388</v>
      </c>
      <c r="B139" s="69" t="s">
        <v>3</v>
      </c>
      <c r="C139" s="69">
        <v>120</v>
      </c>
      <c r="D139" s="72">
        <v>579.6</v>
      </c>
      <c r="E139" s="70">
        <v>28</v>
      </c>
    </row>
    <row r="140" spans="1:5" x14ac:dyDescent="0.25">
      <c r="A140" s="69" t="s">
        <v>389</v>
      </c>
      <c r="B140" s="69" t="s">
        <v>13</v>
      </c>
      <c r="C140" s="69">
        <v>120</v>
      </c>
      <c r="D140" s="72">
        <f>Table13[[#This Row],[Carbon footprint per inhaler attributed to propellant PrescQIPP calculated as gCO2e (from PIL or as assigned in the methodology)11-13]]</f>
        <v>34132</v>
      </c>
      <c r="E140" s="70">
        <v>28</v>
      </c>
    </row>
    <row r="141" spans="1:5" x14ac:dyDescent="0.25">
      <c r="A141" s="69" t="s">
        <v>390</v>
      </c>
      <c r="B141" s="69" t="s">
        <v>3</v>
      </c>
      <c r="C141" s="69">
        <v>120</v>
      </c>
      <c r="D141" s="72">
        <v>800.4</v>
      </c>
      <c r="E141" s="70">
        <v>28</v>
      </c>
    </row>
    <row r="142" spans="1:5" x14ac:dyDescent="0.25">
      <c r="A142" s="69" t="s">
        <v>391</v>
      </c>
      <c r="B142" s="69" t="s">
        <v>3</v>
      </c>
      <c r="C142" s="69">
        <v>60</v>
      </c>
      <c r="D142" s="72">
        <v>1050</v>
      </c>
      <c r="E142" s="70">
        <v>28</v>
      </c>
    </row>
    <row r="143" spans="1:5" x14ac:dyDescent="0.25">
      <c r="A143" s="69" t="s">
        <v>899</v>
      </c>
      <c r="B143" s="69" t="s">
        <v>3</v>
      </c>
      <c r="C143" s="69">
        <v>30</v>
      </c>
      <c r="D143" s="72">
        <v>92</v>
      </c>
      <c r="E143" s="70">
        <v>19.2</v>
      </c>
    </row>
    <row r="144" spans="1:5" x14ac:dyDescent="0.25">
      <c r="A144" s="69" t="s">
        <v>899</v>
      </c>
      <c r="B144" s="69" t="s">
        <v>3</v>
      </c>
      <c r="C144" s="69">
        <v>60</v>
      </c>
      <c r="D144" s="72">
        <v>92</v>
      </c>
      <c r="E144" s="70">
        <v>38.4</v>
      </c>
    </row>
    <row r="145" spans="1:5" x14ac:dyDescent="0.25">
      <c r="A145" s="69" t="s">
        <v>901</v>
      </c>
      <c r="B145" s="69" t="s">
        <v>3</v>
      </c>
      <c r="C145" s="69">
        <v>30</v>
      </c>
      <c r="D145" s="72">
        <v>282</v>
      </c>
      <c r="E145" s="70">
        <v>19.989999999999998</v>
      </c>
    </row>
    <row r="146" spans="1:5" ht="30" x14ac:dyDescent="0.25">
      <c r="A146" s="69" t="s">
        <v>246</v>
      </c>
      <c r="B146" s="69" t="s">
        <v>3</v>
      </c>
      <c r="C146" s="69">
        <v>30</v>
      </c>
      <c r="D146" s="72">
        <v>765</v>
      </c>
      <c r="E146" s="70">
        <v>44.5</v>
      </c>
    </row>
    <row r="147" spans="1:5" ht="30" x14ac:dyDescent="0.25">
      <c r="A147" s="69" t="s">
        <v>618</v>
      </c>
      <c r="B147" s="69" t="s">
        <v>13</v>
      </c>
      <c r="C147" s="69">
        <v>120</v>
      </c>
      <c r="D147" s="72">
        <f>Table13[[#This Row],[Carbon footprint per inhaler attributed to propellant PrescQIPP calculated as gCO2e (from PIL or as assigned in the methodology)11-13]]</f>
        <v>14806.22</v>
      </c>
      <c r="E147" s="70">
        <v>44.5</v>
      </c>
    </row>
    <row r="148" spans="1:5" ht="30" x14ac:dyDescent="0.25">
      <c r="A148" s="69" t="s">
        <v>414</v>
      </c>
      <c r="B148" s="69" t="s">
        <v>13</v>
      </c>
      <c r="C148" s="69">
        <v>120</v>
      </c>
      <c r="D148" s="72">
        <f>Table13[[#This Row],[Carbon footprint per inhaler attributed to propellant PrescQIPP calculated as gCO2e (from PIL or as assigned in the methodology)11-13]]</f>
        <v>14829.099999999999</v>
      </c>
      <c r="E148" s="70">
        <v>44.5</v>
      </c>
    </row>
    <row r="149" spans="1:5" ht="30" x14ac:dyDescent="0.25">
      <c r="A149" s="69" t="s">
        <v>479</v>
      </c>
      <c r="B149" s="69" t="s">
        <v>3</v>
      </c>
      <c r="C149" s="69">
        <v>120</v>
      </c>
      <c r="D149" s="72">
        <v>889.2</v>
      </c>
      <c r="E149" s="70">
        <v>44.5</v>
      </c>
    </row>
    <row r="150" spans="1:5" x14ac:dyDescent="0.25">
      <c r="A150" s="69" t="s">
        <v>799</v>
      </c>
      <c r="B150" s="69" t="s">
        <v>13</v>
      </c>
      <c r="C150" s="69">
        <v>120</v>
      </c>
      <c r="D150" s="72">
        <f>Table13[[#This Row],[Carbon footprint per inhaler attributed to propellant PrescQIPP calculated as gCO2e (from PIL or as assigned in the methodology)11-13]]</f>
        <v>13.015000000000001</v>
      </c>
      <c r="E150" s="70">
        <v>44.5</v>
      </c>
    </row>
    <row r="151" spans="1:5" x14ac:dyDescent="0.25">
      <c r="A151" s="69" t="s">
        <v>902</v>
      </c>
      <c r="B151" s="69" t="s">
        <v>3</v>
      </c>
      <c r="C151" s="72">
        <v>30</v>
      </c>
      <c r="D151" s="72">
        <v>92</v>
      </c>
      <c r="E151" s="70">
        <v>8.5</v>
      </c>
    </row>
    <row r="152" spans="1:5" x14ac:dyDescent="0.25">
      <c r="A152" s="69" t="s">
        <v>903</v>
      </c>
      <c r="B152" s="69" t="s">
        <v>3</v>
      </c>
      <c r="C152" s="72">
        <v>30</v>
      </c>
      <c r="D152" s="72">
        <v>282</v>
      </c>
      <c r="E152" s="70">
        <v>12.5</v>
      </c>
    </row>
    <row r="153" spans="1:5" ht="30" x14ac:dyDescent="0.25">
      <c r="A153" s="69" t="s">
        <v>411</v>
      </c>
      <c r="B153" s="69" t="s">
        <v>3</v>
      </c>
      <c r="C153" s="69">
        <v>30</v>
      </c>
      <c r="D153" s="72">
        <v>667</v>
      </c>
      <c r="E153" s="70">
        <v>32.5</v>
      </c>
    </row>
    <row r="154" spans="1:5" x14ac:dyDescent="0.25">
      <c r="A154" s="69" t="s">
        <v>392</v>
      </c>
      <c r="B154" s="69" t="s">
        <v>3</v>
      </c>
      <c r="C154" s="69">
        <v>60</v>
      </c>
      <c r="D154" s="72">
        <v>583</v>
      </c>
      <c r="E154" s="70">
        <v>3.6</v>
      </c>
    </row>
    <row r="155" spans="1:5" x14ac:dyDescent="0.25">
      <c r="A155" s="69" t="s">
        <v>394</v>
      </c>
      <c r="B155" s="69" t="s">
        <v>13</v>
      </c>
      <c r="C155" s="69">
        <v>200</v>
      </c>
      <c r="D155" s="72">
        <f>Table13[[#This Row],[Carbon footprint per inhaler attributed to propellant PrescQIPP calculated as gCO2e (from PIL or as assigned in the methodology)11-13]]</f>
        <v>25740</v>
      </c>
      <c r="E155" s="70">
        <v>1.5</v>
      </c>
    </row>
    <row r="156" spans="1:5" x14ac:dyDescent="0.25">
      <c r="A156" s="69" t="s">
        <v>741</v>
      </c>
      <c r="B156" s="69" t="s">
        <v>13</v>
      </c>
      <c r="C156" s="69">
        <v>120</v>
      </c>
      <c r="D156" s="72">
        <f>Table13[[#This Row],[Carbon footprint per inhaler attributed to propellant PrescQIPP calculated as gCO2e (from PIL or as assigned in the methodology)11-13]]</f>
        <v>11654.5</v>
      </c>
      <c r="E156" s="70">
        <v>9.85</v>
      </c>
    </row>
    <row r="157" spans="1:5" x14ac:dyDescent="0.25">
      <c r="A157" s="69" t="s">
        <v>742</v>
      </c>
      <c r="B157" s="69" t="s">
        <v>13</v>
      </c>
      <c r="C157" s="69">
        <v>120</v>
      </c>
      <c r="D157" s="72">
        <f>Table13[[#This Row],[Carbon footprint per inhaler attributed to propellant PrescQIPP calculated as gCO2e (from PIL or as assigned in the methodology)11-13]]</f>
        <v>14643.2</v>
      </c>
      <c r="E157" s="70">
        <v>9.85</v>
      </c>
    </row>
    <row r="158" spans="1:5" x14ac:dyDescent="0.25">
      <c r="A158" s="69" t="s">
        <v>501</v>
      </c>
      <c r="B158" s="69" t="s">
        <v>3</v>
      </c>
      <c r="C158" s="69">
        <v>120</v>
      </c>
      <c r="D158" s="72">
        <f>898*2</f>
        <v>1796</v>
      </c>
      <c r="E158" s="70">
        <v>19</v>
      </c>
    </row>
    <row r="159" spans="1:5" x14ac:dyDescent="0.25">
      <c r="A159" s="69" t="s">
        <v>502</v>
      </c>
      <c r="B159" s="69" t="s">
        <v>3</v>
      </c>
      <c r="C159" s="69">
        <v>60</v>
      </c>
      <c r="D159" s="72">
        <v>898</v>
      </c>
      <c r="E159" s="70">
        <v>19</v>
      </c>
    </row>
    <row r="160" spans="1:5" ht="30" x14ac:dyDescent="0.25">
      <c r="A160" s="29"/>
      <c r="B160" s="2" t="s">
        <v>1050</v>
      </c>
      <c r="D160" s="4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73705-2A86-4CDB-87F6-0C722FD2881E}">
  <dimension ref="A1:G165"/>
  <sheetViews>
    <sheetView zoomScale="80" zoomScaleNormal="80" workbookViewId="0">
      <pane xSplit="1" ySplit="1" topLeftCell="B154" activePane="bottomRight" state="frozen"/>
      <selection pane="topRight" activeCell="B1" sqref="B1"/>
      <selection pane="bottomLeft" activeCell="A2" sqref="A2"/>
      <selection pane="bottomRight" activeCell="A176" sqref="A176"/>
    </sheetView>
  </sheetViews>
  <sheetFormatPr defaultRowHeight="15.75" x14ac:dyDescent="0.25"/>
  <cols>
    <col min="1" max="1" width="79.625" customWidth="1"/>
    <col min="2" max="2" width="16.5" style="58" bestFit="1" customWidth="1"/>
    <col min="3" max="3" width="16.5" style="66" bestFit="1" customWidth="1"/>
    <col min="4" max="4" width="17.75" style="55" customWidth="1"/>
    <col min="5" max="5" width="16.5" style="59" bestFit="1" customWidth="1"/>
    <col min="6" max="6" width="17.5" style="59" bestFit="1" customWidth="1"/>
  </cols>
  <sheetData>
    <row r="1" spans="1:7" s="6" customFormat="1" ht="144" x14ac:dyDescent="0.25">
      <c r="A1" s="32" t="s">
        <v>1140</v>
      </c>
      <c r="B1" s="64" t="s">
        <v>1154</v>
      </c>
      <c r="C1" s="65" t="s">
        <v>1151</v>
      </c>
      <c r="D1" s="54" t="s">
        <v>1152</v>
      </c>
      <c r="E1" s="67" t="s">
        <v>1149</v>
      </c>
      <c r="F1" s="67" t="s">
        <v>1150</v>
      </c>
    </row>
    <row r="2" spans="1:7" x14ac:dyDescent="0.25">
      <c r="A2" t="s">
        <v>1014</v>
      </c>
      <c r="B2" s="58" t="s">
        <v>2</v>
      </c>
      <c r="C2" s="66" t="s">
        <v>2</v>
      </c>
      <c r="D2" s="59" t="s">
        <v>2</v>
      </c>
      <c r="E2" s="59" t="s">
        <v>2</v>
      </c>
      <c r="F2" s="59" t="s">
        <v>2</v>
      </c>
      <c r="G2" s="55"/>
    </row>
    <row r="3" spans="1:7" x14ac:dyDescent="0.25">
      <c r="A3" t="s">
        <v>1014</v>
      </c>
      <c r="B3" s="58" t="s">
        <v>2</v>
      </c>
      <c r="C3" s="66" t="s">
        <v>2</v>
      </c>
      <c r="D3" s="59" t="s">
        <v>2</v>
      </c>
      <c r="E3" s="59" t="s">
        <v>2</v>
      </c>
      <c r="F3" s="59" t="s">
        <v>2</v>
      </c>
      <c r="G3" s="55"/>
    </row>
    <row r="4" spans="1:7" x14ac:dyDescent="0.25">
      <c r="A4" t="s">
        <v>283</v>
      </c>
      <c r="B4" s="58" t="s">
        <v>2</v>
      </c>
      <c r="C4" s="66" t="s">
        <v>2</v>
      </c>
      <c r="D4" s="59" t="s">
        <v>2</v>
      </c>
      <c r="E4" s="59" t="s">
        <v>2</v>
      </c>
      <c r="F4" s="59" t="s">
        <v>2</v>
      </c>
      <c r="G4" s="55"/>
    </row>
    <row r="5" spans="1:7" x14ac:dyDescent="0.25">
      <c r="A5" t="s">
        <v>284</v>
      </c>
      <c r="B5" s="58">
        <v>12.5</v>
      </c>
      <c r="C5" s="66">
        <v>1.7899999999999999E-2</v>
      </c>
      <c r="D5" s="59">
        <v>17875</v>
      </c>
      <c r="E5" s="59">
        <v>16250</v>
      </c>
      <c r="F5" s="59">
        <v>19125</v>
      </c>
      <c r="G5" s="55"/>
    </row>
    <row r="6" spans="1:7" x14ac:dyDescent="0.25">
      <c r="A6" t="s">
        <v>285</v>
      </c>
      <c r="B6" s="58">
        <v>12.5</v>
      </c>
      <c r="C6" s="66">
        <v>1.7899999999999999E-2</v>
      </c>
      <c r="D6" s="59">
        <v>17875</v>
      </c>
      <c r="E6" s="59">
        <v>16250</v>
      </c>
      <c r="F6" s="59">
        <v>19125</v>
      </c>
      <c r="G6" s="55"/>
    </row>
    <row r="7" spans="1:7" x14ac:dyDescent="0.25">
      <c r="A7" t="s">
        <v>1100</v>
      </c>
      <c r="B7" s="58">
        <v>7.24</v>
      </c>
      <c r="C7" s="66">
        <v>1.035E-2</v>
      </c>
      <c r="D7" s="59">
        <v>10353.200000000001</v>
      </c>
      <c r="E7" s="59">
        <v>9412</v>
      </c>
      <c r="F7" s="59">
        <v>11077.2</v>
      </c>
      <c r="G7" s="55"/>
    </row>
    <row r="8" spans="1:7" x14ac:dyDescent="0.25">
      <c r="A8" t="s">
        <v>287</v>
      </c>
      <c r="B8" s="58">
        <v>7.24</v>
      </c>
      <c r="C8" s="66">
        <v>1.035E-2</v>
      </c>
      <c r="D8" s="59">
        <v>10353.200000000001</v>
      </c>
      <c r="E8" s="59">
        <v>9412</v>
      </c>
      <c r="F8" s="59">
        <v>11077.2</v>
      </c>
      <c r="G8" s="55"/>
    </row>
    <row r="9" spans="1:7" x14ac:dyDescent="0.25">
      <c r="A9" t="s">
        <v>288</v>
      </c>
      <c r="B9" s="58">
        <v>12.249000000000001</v>
      </c>
      <c r="C9" s="66">
        <v>1.7999999999999999E-2</v>
      </c>
      <c r="D9" s="59">
        <v>17516.07</v>
      </c>
      <c r="E9" s="59">
        <v>15923.7</v>
      </c>
      <c r="F9" s="59">
        <v>18740.97</v>
      </c>
      <c r="G9" s="55"/>
    </row>
    <row r="10" spans="1:7" x14ac:dyDescent="0.25">
      <c r="A10" t="s">
        <v>289</v>
      </c>
      <c r="B10" s="58">
        <v>12.228</v>
      </c>
      <c r="C10" s="66">
        <v>1.7000000000000001E-2</v>
      </c>
      <c r="D10" s="59">
        <v>17486.04</v>
      </c>
      <c r="E10" s="59">
        <v>15896.4</v>
      </c>
      <c r="F10" s="59">
        <v>18708.84</v>
      </c>
      <c r="G10" s="55"/>
    </row>
    <row r="11" spans="1:7" x14ac:dyDescent="0.25">
      <c r="A11" t="s">
        <v>290</v>
      </c>
      <c r="B11" s="58">
        <v>8.8000000000000007</v>
      </c>
      <c r="C11" s="66">
        <v>1.2999999999999999E-2</v>
      </c>
      <c r="D11" s="59">
        <v>12584.000000000002</v>
      </c>
      <c r="E11" s="59">
        <v>11440.000000000002</v>
      </c>
      <c r="F11" s="59">
        <v>13464.000000000002</v>
      </c>
      <c r="G11" s="55"/>
    </row>
    <row r="12" spans="1:7" x14ac:dyDescent="0.25">
      <c r="A12" s="108" t="s">
        <v>1168</v>
      </c>
      <c r="B12" s="109">
        <v>5.59</v>
      </c>
      <c r="C12" s="110">
        <v>8.0000000000000002E-3</v>
      </c>
      <c r="D12" s="111">
        <v>7993.7</v>
      </c>
      <c r="E12" s="111">
        <v>7267</v>
      </c>
      <c r="F12" s="111">
        <v>8552.6999999999989</v>
      </c>
      <c r="G12" s="55"/>
    </row>
    <row r="13" spans="1:7" x14ac:dyDescent="0.25">
      <c r="A13" t="s">
        <v>292</v>
      </c>
      <c r="B13" s="58">
        <v>8.82</v>
      </c>
      <c r="C13" s="66">
        <v>1.2999999999999999E-2</v>
      </c>
      <c r="D13" s="59">
        <v>12612.6</v>
      </c>
      <c r="E13" s="59">
        <v>11466</v>
      </c>
      <c r="F13" s="59">
        <v>13494.6</v>
      </c>
      <c r="G13" s="55"/>
    </row>
    <row r="14" spans="1:7" x14ac:dyDescent="0.25">
      <c r="A14" t="s">
        <v>29</v>
      </c>
      <c r="B14" s="58" t="s">
        <v>2</v>
      </c>
      <c r="C14" s="66" t="s">
        <v>2</v>
      </c>
      <c r="D14" s="59" t="s">
        <v>2</v>
      </c>
      <c r="E14" s="59" t="s">
        <v>2</v>
      </c>
      <c r="F14" s="59" t="s">
        <v>2</v>
      </c>
      <c r="G14" s="55"/>
    </row>
    <row r="15" spans="1:7" x14ac:dyDescent="0.25">
      <c r="A15" s="108" t="s">
        <v>1170</v>
      </c>
      <c r="B15" s="109" t="s">
        <v>2</v>
      </c>
      <c r="C15" s="110" t="s">
        <v>2</v>
      </c>
      <c r="D15" s="111" t="s">
        <v>2</v>
      </c>
      <c r="E15" s="111" t="s">
        <v>2</v>
      </c>
      <c r="F15" s="111" t="s">
        <v>2</v>
      </c>
      <c r="G15" s="55"/>
    </row>
    <row r="16" spans="1:7" x14ac:dyDescent="0.25">
      <c r="A16" s="108" t="s">
        <v>1170</v>
      </c>
      <c r="B16" s="109" t="s">
        <v>2</v>
      </c>
      <c r="C16" s="110" t="s">
        <v>2</v>
      </c>
      <c r="D16" s="111" t="s">
        <v>2</v>
      </c>
      <c r="E16" s="111" t="s">
        <v>2</v>
      </c>
      <c r="F16" s="111" t="s">
        <v>2</v>
      </c>
      <c r="G16" s="55"/>
    </row>
    <row r="17" spans="1:7" x14ac:dyDescent="0.25">
      <c r="A17" s="108" t="s">
        <v>1171</v>
      </c>
      <c r="B17" s="109" t="s">
        <v>2</v>
      </c>
      <c r="C17" s="110" t="s">
        <v>2</v>
      </c>
      <c r="D17" s="111" t="s">
        <v>2</v>
      </c>
      <c r="E17" s="111" t="s">
        <v>2</v>
      </c>
      <c r="F17" s="111" t="s">
        <v>2</v>
      </c>
      <c r="G17" s="55"/>
    </row>
    <row r="18" spans="1:7" x14ac:dyDescent="0.25">
      <c r="A18" s="108" t="s">
        <v>1171</v>
      </c>
      <c r="B18" s="109" t="s">
        <v>2</v>
      </c>
      <c r="C18" s="110" t="s">
        <v>2</v>
      </c>
      <c r="D18" s="111" t="s">
        <v>2</v>
      </c>
      <c r="E18" s="111" t="s">
        <v>2</v>
      </c>
      <c r="F18" s="111" t="s">
        <v>2</v>
      </c>
      <c r="G18" s="55"/>
    </row>
    <row r="19" spans="1:7" x14ac:dyDescent="0.25">
      <c r="A19" s="108" t="s">
        <v>1157</v>
      </c>
      <c r="B19" s="109">
        <v>17.8</v>
      </c>
      <c r="C19" s="112">
        <v>2.5000000000000001E-2</v>
      </c>
      <c r="D19" s="111">
        <f>1430*17.8</f>
        <v>25454</v>
      </c>
      <c r="E19" s="111">
        <f>1300*17.8</f>
        <v>23140</v>
      </c>
      <c r="F19" s="111">
        <f>1530*17.8</f>
        <v>27234</v>
      </c>
      <c r="G19" s="55"/>
    </row>
    <row r="20" spans="1:7" x14ac:dyDescent="0.25">
      <c r="A20" t="s">
        <v>296</v>
      </c>
      <c r="B20" s="58">
        <v>9.0869999999999997</v>
      </c>
      <c r="C20" s="66">
        <v>1.2999999999999999E-2</v>
      </c>
      <c r="D20" s="59">
        <v>12994.41</v>
      </c>
      <c r="E20" s="59">
        <v>11813.1</v>
      </c>
      <c r="F20" s="59">
        <v>13903.109999999999</v>
      </c>
      <c r="G20" s="55"/>
    </row>
    <row r="21" spans="1:7" x14ac:dyDescent="0.25">
      <c r="A21" t="s">
        <v>298</v>
      </c>
      <c r="B21" s="58">
        <v>12.33</v>
      </c>
      <c r="C21" s="66">
        <v>1.763E-2</v>
      </c>
      <c r="D21" s="59">
        <v>17631.900000000001</v>
      </c>
      <c r="E21" s="59">
        <v>16029</v>
      </c>
      <c r="F21" s="59">
        <v>18864.900000000001</v>
      </c>
      <c r="G21" s="55"/>
    </row>
    <row r="22" spans="1:7" x14ac:dyDescent="0.25">
      <c r="A22" t="s">
        <v>593</v>
      </c>
      <c r="B22" s="58" t="s">
        <v>46</v>
      </c>
      <c r="C22" s="66" t="s">
        <v>46</v>
      </c>
      <c r="D22" s="59">
        <v>17160</v>
      </c>
      <c r="E22" s="59" t="s">
        <v>46</v>
      </c>
      <c r="F22" s="59" t="s">
        <v>46</v>
      </c>
      <c r="G22" s="55"/>
    </row>
    <row r="23" spans="1:7" x14ac:dyDescent="0.25">
      <c r="A23" t="s">
        <v>594</v>
      </c>
      <c r="B23" s="58" t="s">
        <v>46</v>
      </c>
      <c r="C23" s="66" t="s">
        <v>46</v>
      </c>
      <c r="D23" s="59">
        <v>17160</v>
      </c>
      <c r="E23" s="59" t="s">
        <v>46</v>
      </c>
      <c r="F23" s="59" t="s">
        <v>46</v>
      </c>
      <c r="G23" s="55"/>
    </row>
    <row r="24" spans="1:7" x14ac:dyDescent="0.25">
      <c r="A24" t="s">
        <v>591</v>
      </c>
      <c r="B24" s="58" t="s">
        <v>46</v>
      </c>
      <c r="C24" s="66" t="s">
        <v>46</v>
      </c>
      <c r="D24" s="59">
        <v>17160</v>
      </c>
      <c r="E24" s="59" t="s">
        <v>46</v>
      </c>
      <c r="F24" s="59" t="s">
        <v>46</v>
      </c>
      <c r="G24" s="55"/>
    </row>
    <row r="25" spans="1:7" x14ac:dyDescent="0.25">
      <c r="A25" t="s">
        <v>1101</v>
      </c>
      <c r="B25" s="58" t="s">
        <v>46</v>
      </c>
      <c r="C25" s="66" t="s">
        <v>46</v>
      </c>
      <c r="D25" s="59">
        <v>17346</v>
      </c>
      <c r="E25" s="59" t="s">
        <v>46</v>
      </c>
      <c r="F25" s="59" t="s">
        <v>46</v>
      </c>
      <c r="G25" s="55"/>
    </row>
    <row r="26" spans="1:7" x14ac:dyDescent="0.25">
      <c r="A26" t="s">
        <v>1102</v>
      </c>
      <c r="B26" s="58" t="s">
        <v>46</v>
      </c>
      <c r="C26" s="66" t="s">
        <v>46</v>
      </c>
      <c r="D26" s="59">
        <v>17089</v>
      </c>
      <c r="E26" s="59" t="s">
        <v>46</v>
      </c>
      <c r="F26" s="59" t="s">
        <v>46</v>
      </c>
      <c r="G26" s="55"/>
    </row>
    <row r="27" spans="1:7" x14ac:dyDescent="0.25">
      <c r="A27" t="s">
        <v>52</v>
      </c>
      <c r="B27" s="58">
        <v>10.6</v>
      </c>
      <c r="C27" s="66">
        <v>1.4999999999999999E-2</v>
      </c>
      <c r="D27" s="59">
        <v>15158</v>
      </c>
      <c r="E27" s="59">
        <v>13780</v>
      </c>
      <c r="F27" s="59">
        <v>16218</v>
      </c>
      <c r="G27" s="55"/>
    </row>
    <row r="28" spans="1:7" x14ac:dyDescent="0.25">
      <c r="A28" t="s">
        <v>636</v>
      </c>
      <c r="B28" s="58">
        <v>8.15</v>
      </c>
      <c r="C28" s="66">
        <v>1.2E-2</v>
      </c>
      <c r="D28" s="59">
        <v>11654.5</v>
      </c>
      <c r="E28" s="59">
        <v>10595</v>
      </c>
      <c r="F28" s="59">
        <v>12469.5</v>
      </c>
      <c r="G28" s="55"/>
    </row>
    <row r="29" spans="1:7" x14ac:dyDescent="0.25">
      <c r="A29" t="s">
        <v>637</v>
      </c>
      <c r="B29" s="58">
        <v>10.24</v>
      </c>
      <c r="C29" s="66">
        <v>1.4999999999999999E-2</v>
      </c>
      <c r="D29" s="59">
        <v>14643.2</v>
      </c>
      <c r="E29" s="59">
        <v>13312</v>
      </c>
      <c r="F29" s="59">
        <v>15667.2</v>
      </c>
      <c r="G29" s="55"/>
    </row>
    <row r="30" spans="1:7" x14ac:dyDescent="0.25">
      <c r="A30" t="s">
        <v>897</v>
      </c>
      <c r="B30" s="58" t="s">
        <v>2</v>
      </c>
      <c r="C30" s="66" t="s">
        <v>2</v>
      </c>
      <c r="D30" s="59" t="s">
        <v>2</v>
      </c>
      <c r="E30" s="59" t="s">
        <v>2</v>
      </c>
      <c r="F30" s="59" t="s">
        <v>2</v>
      </c>
      <c r="G30" s="55"/>
    </row>
    <row r="31" spans="1:7" x14ac:dyDescent="0.25">
      <c r="A31" t="s">
        <v>300</v>
      </c>
      <c r="B31" s="58" t="s">
        <v>2</v>
      </c>
      <c r="C31" s="66" t="s">
        <v>2</v>
      </c>
      <c r="D31" s="59" t="s">
        <v>2</v>
      </c>
      <c r="E31" s="59" t="s">
        <v>2</v>
      </c>
      <c r="F31" s="59" t="s">
        <v>2</v>
      </c>
      <c r="G31" s="55"/>
    </row>
    <row r="32" spans="1:7" x14ac:dyDescent="0.25">
      <c r="A32" t="s">
        <v>1105</v>
      </c>
      <c r="B32" s="58" t="s">
        <v>2</v>
      </c>
      <c r="C32" s="66" t="s">
        <v>2</v>
      </c>
      <c r="D32" s="59" t="s">
        <v>2</v>
      </c>
      <c r="E32" s="59" t="s">
        <v>2</v>
      </c>
      <c r="F32" s="59" t="s">
        <v>2</v>
      </c>
      <c r="G32" s="55"/>
    </row>
    <row r="33" spans="1:7" x14ac:dyDescent="0.25">
      <c r="A33" t="s">
        <v>1106</v>
      </c>
      <c r="B33" s="58" t="s">
        <v>2</v>
      </c>
      <c r="C33" s="66" t="s">
        <v>2</v>
      </c>
      <c r="D33" s="59" t="s">
        <v>2</v>
      </c>
      <c r="E33" s="59" t="s">
        <v>2</v>
      </c>
      <c r="F33" s="59" t="s">
        <v>2</v>
      </c>
      <c r="G33" s="55"/>
    </row>
    <row r="34" spans="1:7" x14ac:dyDescent="0.25">
      <c r="A34" t="s">
        <v>1110</v>
      </c>
      <c r="B34" s="58" t="s">
        <v>2</v>
      </c>
      <c r="C34" s="66" t="s">
        <v>2</v>
      </c>
      <c r="D34" s="59" t="s">
        <v>2</v>
      </c>
      <c r="E34" s="59" t="s">
        <v>2</v>
      </c>
      <c r="F34" s="59" t="s">
        <v>2</v>
      </c>
      <c r="G34" s="55"/>
    </row>
    <row r="35" spans="1:7" x14ac:dyDescent="0.25">
      <c r="A35" t="s">
        <v>1111</v>
      </c>
      <c r="B35" s="58" t="s">
        <v>2</v>
      </c>
      <c r="C35" s="66" t="s">
        <v>2</v>
      </c>
      <c r="D35" s="59" t="s">
        <v>2</v>
      </c>
      <c r="E35" s="59" t="s">
        <v>2</v>
      </c>
      <c r="F35" s="59" t="s">
        <v>2</v>
      </c>
      <c r="G35" s="55"/>
    </row>
    <row r="36" spans="1:7" x14ac:dyDescent="0.25">
      <c r="A36" t="s">
        <v>1112</v>
      </c>
      <c r="B36" s="58" t="s">
        <v>2</v>
      </c>
      <c r="C36" s="66" t="s">
        <v>2</v>
      </c>
      <c r="D36" s="59" t="s">
        <v>2</v>
      </c>
      <c r="E36" s="59" t="s">
        <v>2</v>
      </c>
      <c r="F36" s="59" t="s">
        <v>2</v>
      </c>
      <c r="G36" s="55"/>
    </row>
    <row r="37" spans="1:7" x14ac:dyDescent="0.25">
      <c r="A37" t="s">
        <v>686</v>
      </c>
      <c r="B37" s="58">
        <v>8.8000000000000007</v>
      </c>
      <c r="C37" s="66">
        <v>1.26E-2</v>
      </c>
      <c r="D37" s="59">
        <v>12584.000000000002</v>
      </c>
      <c r="E37" s="59">
        <v>11440.000000000002</v>
      </c>
      <c r="F37" s="59">
        <v>13464.000000000002</v>
      </c>
      <c r="G37" s="55"/>
    </row>
    <row r="38" spans="1:7" x14ac:dyDescent="0.25">
      <c r="A38" t="s">
        <v>687</v>
      </c>
      <c r="B38" s="58">
        <v>8.8000000000000007</v>
      </c>
      <c r="C38" s="66">
        <v>1.26E-2</v>
      </c>
      <c r="D38" s="59">
        <v>12584.000000000002</v>
      </c>
      <c r="E38" s="59">
        <v>11440.000000000002</v>
      </c>
      <c r="F38" s="59">
        <v>13464.000000000002</v>
      </c>
      <c r="G38" s="55"/>
    </row>
    <row r="39" spans="1:7" x14ac:dyDescent="0.25">
      <c r="A39" t="s">
        <v>304</v>
      </c>
      <c r="B39" s="58">
        <v>12.13</v>
      </c>
      <c r="C39" s="66">
        <v>1.7000000000000001E-2</v>
      </c>
      <c r="D39" s="59">
        <v>17345.900000000001</v>
      </c>
      <c r="E39" s="59">
        <v>15769.000000000002</v>
      </c>
      <c r="F39" s="59">
        <v>18558.900000000001</v>
      </c>
      <c r="G39" s="55"/>
    </row>
    <row r="40" spans="1:7" x14ac:dyDescent="0.25">
      <c r="A40" t="s">
        <v>306</v>
      </c>
      <c r="B40" s="58">
        <v>11.95</v>
      </c>
      <c r="C40" s="66">
        <v>1.7000000000000001E-2</v>
      </c>
      <c r="D40" s="59">
        <v>17088.5</v>
      </c>
      <c r="E40" s="59">
        <v>15534.999999999998</v>
      </c>
      <c r="F40" s="59">
        <v>18283.5</v>
      </c>
      <c r="G40" s="55"/>
    </row>
    <row r="41" spans="1:7" x14ac:dyDescent="0.25">
      <c r="A41" t="s">
        <v>308</v>
      </c>
      <c r="B41" s="58">
        <v>11.78</v>
      </c>
      <c r="C41" s="66">
        <v>1.7000000000000001E-2</v>
      </c>
      <c r="D41" s="59">
        <v>16845.399999999998</v>
      </c>
      <c r="E41" s="59">
        <v>15314</v>
      </c>
      <c r="F41" s="59">
        <v>18023.399999999998</v>
      </c>
      <c r="G41" s="55"/>
    </row>
    <row r="42" spans="1:7" x14ac:dyDescent="0.25">
      <c r="A42" t="s">
        <v>310</v>
      </c>
      <c r="B42" s="58">
        <v>12.13</v>
      </c>
      <c r="C42" s="66">
        <v>1.7000000000000001E-2</v>
      </c>
      <c r="D42" s="59">
        <v>17345.900000000001</v>
      </c>
      <c r="E42" s="59">
        <v>15769.000000000002</v>
      </c>
      <c r="F42" s="59">
        <v>18558.900000000001</v>
      </c>
      <c r="G42" s="55"/>
    </row>
    <row r="43" spans="1:7" x14ac:dyDescent="0.25">
      <c r="A43" t="s">
        <v>312</v>
      </c>
      <c r="B43" s="58">
        <v>11.2</v>
      </c>
      <c r="C43" s="66">
        <v>1.6E-2</v>
      </c>
      <c r="D43" s="59">
        <v>16015.999999999998</v>
      </c>
      <c r="E43" s="59">
        <v>14559.999999999998</v>
      </c>
      <c r="F43" s="59">
        <v>17136</v>
      </c>
      <c r="G43" s="55"/>
    </row>
    <row r="44" spans="1:7" x14ac:dyDescent="0.25">
      <c r="A44" t="s">
        <v>313</v>
      </c>
      <c r="B44" s="58">
        <v>11.2</v>
      </c>
      <c r="C44" s="66">
        <v>1.6E-2</v>
      </c>
      <c r="D44" s="59">
        <v>16015.999999999998</v>
      </c>
      <c r="E44" s="59">
        <v>14559.999999999998</v>
      </c>
      <c r="F44" s="59">
        <v>17136</v>
      </c>
      <c r="G44" s="55"/>
    </row>
    <row r="45" spans="1:7" x14ac:dyDescent="0.25">
      <c r="A45" t="s">
        <v>314</v>
      </c>
      <c r="B45" s="58">
        <v>11.2</v>
      </c>
      <c r="C45" s="66">
        <v>1.6E-2</v>
      </c>
      <c r="D45" s="59">
        <v>16015.999999999998</v>
      </c>
      <c r="E45" s="59">
        <v>14559.999999999998</v>
      </c>
      <c r="F45" s="59">
        <v>17136</v>
      </c>
      <c r="G45" s="55"/>
    </row>
    <row r="46" spans="1:7" x14ac:dyDescent="0.25">
      <c r="A46" t="s">
        <v>655</v>
      </c>
      <c r="B46" s="58" t="s">
        <v>2</v>
      </c>
      <c r="C46" s="66" t="s">
        <v>2</v>
      </c>
      <c r="D46" s="59" t="s">
        <v>2</v>
      </c>
      <c r="E46" s="59" t="s">
        <v>2</v>
      </c>
      <c r="F46" s="59" t="s">
        <v>2</v>
      </c>
      <c r="G46" s="55"/>
    </row>
    <row r="47" spans="1:7" x14ac:dyDescent="0.25">
      <c r="A47" t="s">
        <v>315</v>
      </c>
      <c r="B47" s="58" t="s">
        <v>2</v>
      </c>
      <c r="C47" s="66" t="s">
        <v>2</v>
      </c>
      <c r="D47" s="59" t="s">
        <v>2</v>
      </c>
      <c r="E47" s="59" t="s">
        <v>2</v>
      </c>
      <c r="F47" s="59" t="s">
        <v>2</v>
      </c>
      <c r="G47" s="55"/>
    </row>
    <row r="48" spans="1:7" x14ac:dyDescent="0.25">
      <c r="A48" t="s">
        <v>316</v>
      </c>
      <c r="B48" s="58" t="s">
        <v>2</v>
      </c>
      <c r="C48" s="66" t="s">
        <v>2</v>
      </c>
      <c r="D48" s="59" t="s">
        <v>2</v>
      </c>
      <c r="E48" s="59" t="s">
        <v>2</v>
      </c>
      <c r="F48" s="59" t="s">
        <v>2</v>
      </c>
      <c r="G48" s="55"/>
    </row>
    <row r="49" spans="1:7" x14ac:dyDescent="0.25">
      <c r="A49" t="s">
        <v>317</v>
      </c>
      <c r="B49" s="58" t="s">
        <v>2</v>
      </c>
      <c r="C49" s="66" t="s">
        <v>2</v>
      </c>
      <c r="D49" s="59" t="s">
        <v>2</v>
      </c>
      <c r="E49" s="59" t="s">
        <v>2</v>
      </c>
      <c r="F49" s="59" t="s">
        <v>2</v>
      </c>
      <c r="G49" s="55"/>
    </row>
    <row r="50" spans="1:7" x14ac:dyDescent="0.25">
      <c r="A50" t="s">
        <v>319</v>
      </c>
      <c r="B50" s="58" t="s">
        <v>2</v>
      </c>
      <c r="C50" s="66" t="s">
        <v>2</v>
      </c>
      <c r="D50" s="59" t="s">
        <v>2</v>
      </c>
      <c r="E50" s="59" t="s">
        <v>2</v>
      </c>
      <c r="F50" s="59" t="s">
        <v>2</v>
      </c>
      <c r="G50" s="55"/>
    </row>
    <row r="51" spans="1:7" x14ac:dyDescent="0.25">
      <c r="A51" t="s">
        <v>321</v>
      </c>
      <c r="B51" s="58" t="s">
        <v>2</v>
      </c>
      <c r="C51" s="66" t="s">
        <v>2</v>
      </c>
      <c r="D51" s="59" t="s">
        <v>2</v>
      </c>
      <c r="E51" s="59" t="s">
        <v>2</v>
      </c>
      <c r="F51" s="59" t="s">
        <v>2</v>
      </c>
      <c r="G51" s="55"/>
    </row>
    <row r="52" spans="1:7" x14ac:dyDescent="0.25">
      <c r="A52" t="s">
        <v>323</v>
      </c>
      <c r="B52" s="58" t="s">
        <v>2</v>
      </c>
      <c r="C52" s="66" t="s">
        <v>2</v>
      </c>
      <c r="D52" s="59" t="s">
        <v>2</v>
      </c>
      <c r="E52" s="59" t="s">
        <v>2</v>
      </c>
      <c r="F52" s="59" t="s">
        <v>2</v>
      </c>
      <c r="G52" s="55"/>
    </row>
    <row r="53" spans="1:7" x14ac:dyDescent="0.25">
      <c r="A53" t="s">
        <v>325</v>
      </c>
      <c r="B53" s="58" t="s">
        <v>2</v>
      </c>
      <c r="C53" s="66" t="s">
        <v>2</v>
      </c>
      <c r="D53" s="59" t="s">
        <v>2</v>
      </c>
      <c r="E53" s="59" t="s">
        <v>2</v>
      </c>
      <c r="F53" s="59" t="s">
        <v>2</v>
      </c>
      <c r="G53" s="55"/>
    </row>
    <row r="54" spans="1:7" x14ac:dyDescent="0.25">
      <c r="A54" t="s">
        <v>327</v>
      </c>
      <c r="B54" s="58" t="s">
        <v>2</v>
      </c>
      <c r="C54" s="66" t="s">
        <v>2</v>
      </c>
      <c r="D54" s="59" t="s">
        <v>2</v>
      </c>
      <c r="E54" s="59" t="s">
        <v>2</v>
      </c>
      <c r="F54" s="59" t="s">
        <v>2</v>
      </c>
      <c r="G54" s="55"/>
    </row>
    <row r="55" spans="1:7" x14ac:dyDescent="0.25">
      <c r="A55" t="s">
        <v>328</v>
      </c>
      <c r="B55" s="58" t="s">
        <v>2</v>
      </c>
      <c r="C55" s="66" t="s">
        <v>2</v>
      </c>
      <c r="D55" s="59" t="s">
        <v>2</v>
      </c>
      <c r="E55" s="59" t="s">
        <v>2</v>
      </c>
      <c r="F55" s="59" t="s">
        <v>2</v>
      </c>
      <c r="G55" s="55"/>
    </row>
    <row r="56" spans="1:7" x14ac:dyDescent="0.25">
      <c r="A56" t="s">
        <v>329</v>
      </c>
      <c r="B56" s="58" t="s">
        <v>2</v>
      </c>
      <c r="C56" s="66" t="s">
        <v>2</v>
      </c>
      <c r="D56" s="59" t="s">
        <v>2</v>
      </c>
      <c r="E56" s="59" t="s">
        <v>2</v>
      </c>
      <c r="F56" s="59" t="s">
        <v>2</v>
      </c>
      <c r="G56" s="55"/>
    </row>
    <row r="57" spans="1:7" x14ac:dyDescent="0.25">
      <c r="A57" t="s">
        <v>1129</v>
      </c>
      <c r="B57" s="58" t="s">
        <v>2</v>
      </c>
      <c r="C57" s="66" t="s">
        <v>2</v>
      </c>
      <c r="D57" s="59" t="s">
        <v>2</v>
      </c>
      <c r="E57" s="59" t="s">
        <v>2</v>
      </c>
      <c r="F57" s="59" t="s">
        <v>2</v>
      </c>
      <c r="G57" s="55"/>
    </row>
    <row r="58" spans="1:7" x14ac:dyDescent="0.25">
      <c r="A58" t="s">
        <v>97</v>
      </c>
      <c r="B58" s="58" t="s">
        <v>2</v>
      </c>
      <c r="C58" s="66" t="s">
        <v>2</v>
      </c>
      <c r="D58" s="59" t="s">
        <v>2</v>
      </c>
      <c r="E58" s="59" t="s">
        <v>2</v>
      </c>
      <c r="F58" s="59" t="s">
        <v>2</v>
      </c>
      <c r="G58" s="55"/>
    </row>
    <row r="59" spans="1:7" x14ac:dyDescent="0.25">
      <c r="A59" t="s">
        <v>430</v>
      </c>
      <c r="B59" s="58" t="s">
        <v>2</v>
      </c>
      <c r="C59" s="66" t="s">
        <v>2</v>
      </c>
      <c r="D59" s="59" t="s">
        <v>2</v>
      </c>
      <c r="E59" s="59" t="s">
        <v>2</v>
      </c>
      <c r="F59" s="59" t="s">
        <v>2</v>
      </c>
      <c r="G59" s="55"/>
    </row>
    <row r="60" spans="1:7" x14ac:dyDescent="0.25">
      <c r="A60" t="s">
        <v>431</v>
      </c>
      <c r="B60" s="58" t="s">
        <v>2</v>
      </c>
      <c r="C60" s="66" t="s">
        <v>2</v>
      </c>
      <c r="D60" s="59" t="s">
        <v>2</v>
      </c>
      <c r="E60" s="59" t="s">
        <v>2</v>
      </c>
      <c r="F60" s="59" t="s">
        <v>2</v>
      </c>
      <c r="G60" s="55"/>
    </row>
    <row r="61" spans="1:7" x14ac:dyDescent="0.25">
      <c r="A61" t="s">
        <v>432</v>
      </c>
      <c r="B61" s="58" t="s">
        <v>2</v>
      </c>
      <c r="C61" s="66" t="s">
        <v>2</v>
      </c>
      <c r="D61" s="59" t="s">
        <v>2</v>
      </c>
      <c r="E61" s="59" t="s">
        <v>2</v>
      </c>
      <c r="F61" s="59" t="s">
        <v>2</v>
      </c>
      <c r="G61" s="55"/>
    </row>
    <row r="62" spans="1:7" x14ac:dyDescent="0.25">
      <c r="A62" t="s">
        <v>99</v>
      </c>
      <c r="B62" s="58" t="s">
        <v>2</v>
      </c>
      <c r="C62" s="66" t="s">
        <v>2</v>
      </c>
      <c r="D62" s="59" t="s">
        <v>2</v>
      </c>
      <c r="E62" s="59" t="s">
        <v>2</v>
      </c>
      <c r="F62" s="59" t="s">
        <v>2</v>
      </c>
      <c r="G62" s="55"/>
    </row>
    <row r="63" spans="1:7" x14ac:dyDescent="0.25">
      <c r="A63" t="s">
        <v>102</v>
      </c>
      <c r="B63" s="58" t="s">
        <v>2</v>
      </c>
      <c r="C63" s="66" t="s">
        <v>2</v>
      </c>
      <c r="D63" s="59" t="s">
        <v>2</v>
      </c>
      <c r="E63" s="59" t="s">
        <v>2</v>
      </c>
      <c r="F63" s="59" t="s">
        <v>2</v>
      </c>
      <c r="G63" s="55"/>
    </row>
    <row r="64" spans="1:7" x14ac:dyDescent="0.25">
      <c r="A64" t="s">
        <v>105</v>
      </c>
      <c r="B64" s="58" t="s">
        <v>2</v>
      </c>
      <c r="C64" s="66" t="s">
        <v>2</v>
      </c>
      <c r="D64" s="59" t="s">
        <v>2</v>
      </c>
      <c r="E64" s="59" t="s">
        <v>2</v>
      </c>
      <c r="F64" s="59" t="s">
        <v>2</v>
      </c>
      <c r="G64" s="55"/>
    </row>
    <row r="65" spans="1:7" x14ac:dyDescent="0.25">
      <c r="A65" t="s">
        <v>107</v>
      </c>
      <c r="B65" s="58" t="s">
        <v>2</v>
      </c>
      <c r="C65" s="66" t="s">
        <v>2</v>
      </c>
      <c r="D65" s="59" t="s">
        <v>2</v>
      </c>
      <c r="E65" s="59" t="s">
        <v>2</v>
      </c>
      <c r="F65" s="59" t="s">
        <v>2</v>
      </c>
      <c r="G65" s="55"/>
    </row>
    <row r="66" spans="1:7" x14ac:dyDescent="0.25">
      <c r="A66" t="s">
        <v>780</v>
      </c>
      <c r="B66" s="58">
        <v>12</v>
      </c>
      <c r="C66" s="66">
        <v>1.72E-2</v>
      </c>
      <c r="D66" s="59">
        <v>17160</v>
      </c>
      <c r="E66" s="59">
        <v>15600</v>
      </c>
      <c r="F66" s="59">
        <v>18360</v>
      </c>
      <c r="G66" s="55"/>
    </row>
    <row r="67" spans="1:7" x14ac:dyDescent="0.25">
      <c r="A67" t="s">
        <v>111</v>
      </c>
      <c r="B67" s="58">
        <v>12</v>
      </c>
      <c r="C67" s="66">
        <v>1.72E-2</v>
      </c>
      <c r="D67" s="59">
        <v>17160</v>
      </c>
      <c r="E67" s="59">
        <v>15600</v>
      </c>
      <c r="F67" s="59">
        <v>18360</v>
      </c>
      <c r="G67" s="55"/>
    </row>
    <row r="68" spans="1:7" x14ac:dyDescent="0.25">
      <c r="A68" t="s">
        <v>113</v>
      </c>
      <c r="B68" s="58">
        <v>10.6</v>
      </c>
      <c r="C68" s="66">
        <v>1.52E-2</v>
      </c>
      <c r="D68" s="59">
        <v>15158</v>
      </c>
      <c r="E68" s="59">
        <v>13780</v>
      </c>
      <c r="F68" s="59">
        <v>16218</v>
      </c>
      <c r="G68" s="55"/>
    </row>
    <row r="69" spans="1:7" x14ac:dyDescent="0.25">
      <c r="A69" t="s">
        <v>337</v>
      </c>
      <c r="B69" s="58">
        <v>11.2</v>
      </c>
      <c r="C69" s="66">
        <v>3.5999999999999997E-2</v>
      </c>
      <c r="D69" s="59">
        <v>36064</v>
      </c>
      <c r="E69" s="59">
        <v>37520</v>
      </c>
      <c r="F69" s="59">
        <v>40320</v>
      </c>
      <c r="G69" s="55"/>
    </row>
    <row r="70" spans="1:7" x14ac:dyDescent="0.25">
      <c r="A70" t="s">
        <v>395</v>
      </c>
      <c r="B70" s="58">
        <v>11.2</v>
      </c>
      <c r="C70" s="66">
        <v>3.5999999999999997E-2</v>
      </c>
      <c r="D70" s="59">
        <v>36064</v>
      </c>
      <c r="E70" s="59">
        <v>37520</v>
      </c>
      <c r="F70" s="59">
        <v>40320</v>
      </c>
      <c r="G70" s="55"/>
    </row>
    <row r="71" spans="1:7" x14ac:dyDescent="0.25">
      <c r="A71" t="s">
        <v>338</v>
      </c>
      <c r="B71" s="58">
        <v>11.2</v>
      </c>
      <c r="C71" s="66">
        <v>3.5999999999999997E-2</v>
      </c>
      <c r="D71" s="59">
        <v>36064</v>
      </c>
      <c r="E71" s="59">
        <v>37520</v>
      </c>
      <c r="F71" s="59">
        <v>40320</v>
      </c>
      <c r="G71" s="55"/>
    </row>
    <row r="72" spans="1:7" x14ac:dyDescent="0.25">
      <c r="A72" t="s">
        <v>339</v>
      </c>
      <c r="B72" s="58" t="s">
        <v>2</v>
      </c>
      <c r="C72" s="66" t="s">
        <v>2</v>
      </c>
      <c r="D72" s="59" t="s">
        <v>2</v>
      </c>
      <c r="E72" s="59" t="s">
        <v>2</v>
      </c>
      <c r="F72" s="59" t="s">
        <v>2</v>
      </c>
      <c r="G72" s="55"/>
    </row>
    <row r="73" spans="1:7" x14ac:dyDescent="0.25">
      <c r="A73" t="s">
        <v>339</v>
      </c>
      <c r="B73" s="58" t="s">
        <v>2</v>
      </c>
      <c r="C73" s="66" t="s">
        <v>2</v>
      </c>
      <c r="D73" s="59" t="s">
        <v>2</v>
      </c>
      <c r="E73" s="59" t="s">
        <v>2</v>
      </c>
      <c r="F73" s="59" t="s">
        <v>2</v>
      </c>
      <c r="G73" s="55"/>
    </row>
    <row r="74" spans="1:7" x14ac:dyDescent="0.25">
      <c r="A74" t="s">
        <v>340</v>
      </c>
      <c r="B74" s="58" t="s">
        <v>2</v>
      </c>
      <c r="C74" s="66" t="s">
        <v>2</v>
      </c>
      <c r="D74" s="59" t="s">
        <v>2</v>
      </c>
      <c r="E74" s="59" t="s">
        <v>2</v>
      </c>
      <c r="F74" s="59" t="s">
        <v>2</v>
      </c>
      <c r="G74" s="55"/>
    </row>
    <row r="75" spans="1:7" x14ac:dyDescent="0.25">
      <c r="A75" t="s">
        <v>341</v>
      </c>
      <c r="B75" s="58" t="s">
        <v>2</v>
      </c>
      <c r="C75" s="66" t="s">
        <v>2</v>
      </c>
      <c r="D75" s="59" t="s">
        <v>2</v>
      </c>
      <c r="E75" s="59" t="s">
        <v>2</v>
      </c>
      <c r="F75" s="59" t="s">
        <v>2</v>
      </c>
      <c r="G75" s="55"/>
    </row>
    <row r="76" spans="1:7" x14ac:dyDescent="0.25">
      <c r="A76" t="s">
        <v>342</v>
      </c>
      <c r="B76" s="58">
        <v>8.1470000000000002</v>
      </c>
      <c r="C76" s="66">
        <v>1.2E-2</v>
      </c>
      <c r="D76" s="59">
        <v>11650.210000000001</v>
      </c>
      <c r="E76" s="59">
        <v>10591.1</v>
      </c>
      <c r="F76" s="59">
        <v>12464.91</v>
      </c>
      <c r="G76" s="55"/>
    </row>
    <row r="77" spans="1:7" x14ac:dyDescent="0.25">
      <c r="A77" t="s">
        <v>343</v>
      </c>
      <c r="B77" s="58">
        <v>10.356</v>
      </c>
      <c r="C77" s="66">
        <v>1.4999999999999999E-2</v>
      </c>
      <c r="D77" s="59">
        <v>14809.08</v>
      </c>
      <c r="E77" s="59">
        <v>13462.8</v>
      </c>
      <c r="F77" s="59">
        <v>15844.68</v>
      </c>
      <c r="G77" s="55"/>
    </row>
    <row r="78" spans="1:7" x14ac:dyDescent="0.25">
      <c r="A78" t="s">
        <v>344</v>
      </c>
      <c r="B78" s="58" t="s">
        <v>2</v>
      </c>
      <c r="C78" s="66" t="s">
        <v>2</v>
      </c>
      <c r="D78" s="59" t="s">
        <v>2</v>
      </c>
      <c r="E78" s="59" t="s">
        <v>2</v>
      </c>
      <c r="F78" s="59" t="s">
        <v>2</v>
      </c>
      <c r="G78" s="55"/>
    </row>
    <row r="79" spans="1:7" x14ac:dyDescent="0.25">
      <c r="A79" t="s">
        <v>396</v>
      </c>
      <c r="B79" s="58" t="s">
        <v>2</v>
      </c>
      <c r="C79" s="66" t="s">
        <v>2</v>
      </c>
      <c r="D79" s="59" t="s">
        <v>2</v>
      </c>
      <c r="E79" s="59" t="s">
        <v>2</v>
      </c>
      <c r="F79" s="59" t="s">
        <v>2</v>
      </c>
      <c r="G79" s="55"/>
    </row>
    <row r="80" spans="1:7" x14ac:dyDescent="0.25">
      <c r="A80" t="s">
        <v>345</v>
      </c>
      <c r="B80" s="58" t="s">
        <v>2</v>
      </c>
      <c r="C80" s="66" t="s">
        <v>2</v>
      </c>
      <c r="D80" s="59" t="s">
        <v>2</v>
      </c>
      <c r="E80" s="59" t="s">
        <v>2</v>
      </c>
      <c r="F80" s="59" t="s">
        <v>2</v>
      </c>
      <c r="G80" s="55"/>
    </row>
    <row r="81" spans="1:7" x14ac:dyDescent="0.25">
      <c r="A81" t="s">
        <v>346</v>
      </c>
      <c r="B81" s="58" t="s">
        <v>2</v>
      </c>
      <c r="C81" s="66" t="s">
        <v>2</v>
      </c>
      <c r="D81" s="59" t="s">
        <v>2</v>
      </c>
      <c r="E81" s="59" t="s">
        <v>2</v>
      </c>
      <c r="F81" s="59" t="s">
        <v>2</v>
      </c>
      <c r="G81" s="55"/>
    </row>
    <row r="82" spans="1:7" x14ac:dyDescent="0.25">
      <c r="A82" t="s">
        <v>140</v>
      </c>
      <c r="B82" s="58" t="s">
        <v>2</v>
      </c>
      <c r="C82" s="66" t="s">
        <v>2</v>
      </c>
      <c r="D82" s="59" t="s">
        <v>2</v>
      </c>
      <c r="E82" s="59" t="s">
        <v>2</v>
      </c>
      <c r="F82" s="59" t="s">
        <v>2</v>
      </c>
      <c r="G82" s="55"/>
    </row>
    <row r="83" spans="1:7" x14ac:dyDescent="0.25">
      <c r="A83" t="s">
        <v>142</v>
      </c>
      <c r="B83" s="58" t="s">
        <v>46</v>
      </c>
      <c r="C83" s="66" t="s">
        <v>46</v>
      </c>
      <c r="D83" s="59">
        <v>17632</v>
      </c>
      <c r="E83" s="59" t="s">
        <v>2</v>
      </c>
      <c r="F83" s="59" t="s">
        <v>2</v>
      </c>
      <c r="G83" s="55"/>
    </row>
    <row r="84" spans="1:7" x14ac:dyDescent="0.25">
      <c r="A84" t="s">
        <v>347</v>
      </c>
      <c r="B84" s="58">
        <v>13.3</v>
      </c>
      <c r="C84" s="66">
        <v>1.9E-2</v>
      </c>
      <c r="D84" s="59">
        <v>19019</v>
      </c>
      <c r="E84" s="59">
        <v>17290</v>
      </c>
      <c r="F84" s="59">
        <v>20349</v>
      </c>
      <c r="G84" s="55"/>
    </row>
    <row r="85" spans="1:7" x14ac:dyDescent="0.25">
      <c r="A85" t="s">
        <v>348</v>
      </c>
      <c r="B85" s="58">
        <v>13.4</v>
      </c>
      <c r="C85" s="66">
        <v>1.9E-2</v>
      </c>
      <c r="D85" s="59">
        <v>19162</v>
      </c>
      <c r="E85" s="59">
        <v>17420</v>
      </c>
      <c r="F85" s="59">
        <v>20502</v>
      </c>
      <c r="G85" s="55"/>
    </row>
    <row r="86" spans="1:7" x14ac:dyDescent="0.25">
      <c r="A86" t="s">
        <v>542</v>
      </c>
      <c r="B86" s="58">
        <v>8.1199999999999992</v>
      </c>
      <c r="C86" s="66">
        <v>1.2E-2</v>
      </c>
      <c r="D86" s="59">
        <v>11611.599999999999</v>
      </c>
      <c r="E86" s="59">
        <v>10555.999999999998</v>
      </c>
      <c r="F86" s="59">
        <v>12423.599999999999</v>
      </c>
      <c r="G86" s="55"/>
    </row>
    <row r="87" spans="1:7" x14ac:dyDescent="0.25">
      <c r="A87" t="s">
        <v>616</v>
      </c>
      <c r="B87" s="58">
        <v>10.292</v>
      </c>
      <c r="C87" s="66">
        <v>1.4999999999999999E-2</v>
      </c>
      <c r="D87" s="59">
        <v>14717.56</v>
      </c>
      <c r="E87" s="59">
        <v>13379.6</v>
      </c>
      <c r="F87" s="59">
        <v>15746.76</v>
      </c>
      <c r="G87" s="55"/>
    </row>
    <row r="88" spans="1:7" x14ac:dyDescent="0.25">
      <c r="A88" t="s">
        <v>349</v>
      </c>
      <c r="B88" s="58" t="s">
        <v>2</v>
      </c>
      <c r="C88" s="66" t="s">
        <v>2</v>
      </c>
      <c r="D88" s="59" t="s">
        <v>2</v>
      </c>
      <c r="E88" s="59" t="s">
        <v>2</v>
      </c>
      <c r="F88" s="59" t="s">
        <v>2</v>
      </c>
      <c r="G88" s="55"/>
    </row>
    <row r="89" spans="1:7" x14ac:dyDescent="0.25">
      <c r="A89" t="s">
        <v>350</v>
      </c>
      <c r="B89" s="58" t="s">
        <v>2</v>
      </c>
      <c r="C89" s="66" t="s">
        <v>2</v>
      </c>
      <c r="D89" s="59" t="s">
        <v>2</v>
      </c>
      <c r="E89" s="59" t="s">
        <v>2</v>
      </c>
      <c r="F89" s="59" t="s">
        <v>2</v>
      </c>
      <c r="G89" s="55"/>
    </row>
    <row r="90" spans="1:7" x14ac:dyDescent="0.25">
      <c r="A90" t="s">
        <v>351</v>
      </c>
      <c r="B90" s="58" t="s">
        <v>2</v>
      </c>
      <c r="C90" s="66" t="s">
        <v>2</v>
      </c>
      <c r="D90" s="59" t="s">
        <v>2</v>
      </c>
      <c r="E90" s="59" t="s">
        <v>2</v>
      </c>
      <c r="F90" s="59" t="s">
        <v>2</v>
      </c>
      <c r="G90" s="55"/>
    </row>
    <row r="91" spans="1:7" x14ac:dyDescent="0.25">
      <c r="A91" t="s">
        <v>352</v>
      </c>
      <c r="B91" s="58" t="s">
        <v>2</v>
      </c>
      <c r="C91" s="66" t="s">
        <v>2</v>
      </c>
      <c r="D91" s="59" t="s">
        <v>2</v>
      </c>
      <c r="E91" s="59" t="s">
        <v>2</v>
      </c>
      <c r="F91" s="59" t="s">
        <v>2</v>
      </c>
      <c r="G91" s="55"/>
    </row>
    <row r="92" spans="1:7" x14ac:dyDescent="0.25">
      <c r="A92" t="s">
        <v>738</v>
      </c>
      <c r="B92" s="58">
        <v>8.15</v>
      </c>
      <c r="C92" s="66">
        <v>1.2E-2</v>
      </c>
      <c r="D92" s="59">
        <v>11654.5</v>
      </c>
      <c r="E92" s="59">
        <v>10595</v>
      </c>
      <c r="F92" s="59">
        <v>12469.5</v>
      </c>
      <c r="G92" s="55"/>
    </row>
    <row r="93" spans="1:7" x14ac:dyDescent="0.25">
      <c r="A93" t="s">
        <v>739</v>
      </c>
      <c r="B93" s="58">
        <v>10.35</v>
      </c>
      <c r="C93" s="66">
        <v>1.4999999999999999E-2</v>
      </c>
      <c r="D93" s="59">
        <v>14800.5</v>
      </c>
      <c r="E93" s="59">
        <v>13455</v>
      </c>
      <c r="F93" s="59">
        <v>15835.5</v>
      </c>
      <c r="G93" s="55"/>
    </row>
    <row r="94" spans="1:7" x14ac:dyDescent="0.25">
      <c r="A94" t="s">
        <v>354</v>
      </c>
      <c r="B94" s="58" t="s">
        <v>2</v>
      </c>
      <c r="C94" s="66" t="s">
        <v>2</v>
      </c>
      <c r="D94" s="59" t="s">
        <v>2</v>
      </c>
      <c r="E94" s="59" t="s">
        <v>2</v>
      </c>
      <c r="F94" s="59" t="s">
        <v>2</v>
      </c>
      <c r="G94" s="55"/>
    </row>
    <row r="95" spans="1:7" x14ac:dyDescent="0.25">
      <c r="A95" t="s">
        <v>355</v>
      </c>
      <c r="B95" s="58" t="s">
        <v>2</v>
      </c>
      <c r="C95" s="66" t="s">
        <v>2</v>
      </c>
      <c r="D95" s="59" t="s">
        <v>2</v>
      </c>
      <c r="E95" s="59" t="s">
        <v>2</v>
      </c>
      <c r="F95" s="59" t="s">
        <v>2</v>
      </c>
      <c r="G95" s="55"/>
    </row>
    <row r="96" spans="1:7" x14ac:dyDescent="0.25">
      <c r="A96" t="s">
        <v>356</v>
      </c>
      <c r="B96" s="58" t="s">
        <v>2</v>
      </c>
      <c r="C96" s="66" t="s">
        <v>2</v>
      </c>
      <c r="D96" s="59" t="s">
        <v>2</v>
      </c>
      <c r="E96" s="59" t="s">
        <v>2</v>
      </c>
      <c r="F96" s="59" t="s">
        <v>2</v>
      </c>
      <c r="G96" s="55"/>
    </row>
    <row r="97" spans="1:7" x14ac:dyDescent="0.25">
      <c r="A97" t="s">
        <v>357</v>
      </c>
      <c r="B97" s="58">
        <v>13.13</v>
      </c>
      <c r="C97" s="66">
        <v>1.8780000000000002E-2</v>
      </c>
      <c r="D97" s="59">
        <v>18775.900000000001</v>
      </c>
      <c r="E97" s="59">
        <v>17069</v>
      </c>
      <c r="F97" s="59">
        <v>20088.900000000001</v>
      </c>
      <c r="G97" s="55"/>
    </row>
    <row r="98" spans="1:7" x14ac:dyDescent="0.25">
      <c r="A98" t="s">
        <v>358</v>
      </c>
      <c r="B98" s="58">
        <v>13.14</v>
      </c>
      <c r="C98" s="66">
        <v>1.8790000000000001E-2</v>
      </c>
      <c r="D98" s="59">
        <v>18790.2</v>
      </c>
      <c r="E98" s="59">
        <v>17082</v>
      </c>
      <c r="F98" s="59">
        <v>20104.2</v>
      </c>
      <c r="G98" s="55"/>
    </row>
    <row r="99" spans="1:7" x14ac:dyDescent="0.25">
      <c r="A99" t="s">
        <v>359</v>
      </c>
      <c r="B99" s="58">
        <v>13.13</v>
      </c>
      <c r="C99" s="66">
        <v>1.8780000000000002E-2</v>
      </c>
      <c r="D99" s="59">
        <v>18775.900000000001</v>
      </c>
      <c r="E99" s="59">
        <v>17069</v>
      </c>
      <c r="F99" s="59">
        <v>20088.900000000001</v>
      </c>
      <c r="G99" s="55"/>
    </row>
    <row r="100" spans="1:7" x14ac:dyDescent="0.25">
      <c r="A100" t="s">
        <v>360</v>
      </c>
      <c r="B100" s="58">
        <v>13.14</v>
      </c>
      <c r="C100" s="66">
        <v>1.8790000000000001E-2</v>
      </c>
      <c r="D100" s="59">
        <v>18790.2</v>
      </c>
      <c r="E100" s="59">
        <v>17082</v>
      </c>
      <c r="F100" s="59">
        <v>20104.2</v>
      </c>
      <c r="G100" s="56"/>
    </row>
    <row r="101" spans="1:7" x14ac:dyDescent="0.25">
      <c r="A101" t="s">
        <v>361</v>
      </c>
      <c r="B101" s="58">
        <v>17.95</v>
      </c>
      <c r="C101" s="66">
        <v>2.5669999999999998E-2</v>
      </c>
      <c r="D101" s="59">
        <v>25668.5</v>
      </c>
      <c r="E101" s="59">
        <v>23335</v>
      </c>
      <c r="F101" s="59">
        <v>27463.5</v>
      </c>
      <c r="G101" s="56"/>
    </row>
    <row r="102" spans="1:7" x14ac:dyDescent="0.25">
      <c r="A102" t="s">
        <v>362</v>
      </c>
      <c r="B102" s="58">
        <v>18.206</v>
      </c>
      <c r="C102" s="66">
        <v>2.63E-2</v>
      </c>
      <c r="D102" s="59">
        <v>26034.579999999998</v>
      </c>
      <c r="E102" s="59">
        <v>23667.8</v>
      </c>
      <c r="F102" s="59">
        <v>27855.18</v>
      </c>
      <c r="G102" s="56"/>
    </row>
    <row r="103" spans="1:7" x14ac:dyDescent="0.25">
      <c r="A103" t="s">
        <v>187</v>
      </c>
      <c r="B103" s="58" t="s">
        <v>2</v>
      </c>
      <c r="C103" s="66" t="s">
        <v>2</v>
      </c>
      <c r="D103" s="59" t="s">
        <v>2</v>
      </c>
      <c r="E103" s="59" t="s">
        <v>2</v>
      </c>
      <c r="F103" s="59" t="s">
        <v>2</v>
      </c>
      <c r="G103" s="56"/>
    </row>
    <row r="104" spans="1:7" x14ac:dyDescent="0.25">
      <c r="A104" t="s">
        <v>189</v>
      </c>
      <c r="B104" s="58" t="s">
        <v>2</v>
      </c>
      <c r="C104" s="66" t="s">
        <v>2</v>
      </c>
      <c r="D104" s="59" t="s">
        <v>2</v>
      </c>
      <c r="E104" s="59" t="s">
        <v>2</v>
      </c>
      <c r="F104" s="59" t="s">
        <v>2</v>
      </c>
      <c r="G104" s="56"/>
    </row>
    <row r="105" spans="1:7" x14ac:dyDescent="0.25">
      <c r="A105" t="s">
        <v>363</v>
      </c>
      <c r="B105" s="58">
        <v>7.5</v>
      </c>
      <c r="C105" s="66">
        <v>1.073E-2</v>
      </c>
      <c r="D105" s="59">
        <v>10725</v>
      </c>
      <c r="E105" s="59">
        <v>9750</v>
      </c>
      <c r="F105" s="59">
        <v>11475</v>
      </c>
      <c r="G105" s="56"/>
    </row>
    <row r="106" spans="1:7" x14ac:dyDescent="0.25">
      <c r="A106" t="s">
        <v>364</v>
      </c>
      <c r="B106" s="58">
        <v>7.5</v>
      </c>
      <c r="C106" s="66">
        <v>1.0725E-2</v>
      </c>
      <c r="D106" s="59">
        <v>10725</v>
      </c>
      <c r="E106" s="59">
        <v>9750</v>
      </c>
      <c r="F106" s="59">
        <v>11475</v>
      </c>
      <c r="G106" s="56"/>
    </row>
    <row r="107" spans="1:7" x14ac:dyDescent="0.25">
      <c r="A107" t="s">
        <v>1107</v>
      </c>
      <c r="B107" s="58" t="s">
        <v>2</v>
      </c>
      <c r="C107" s="66" t="s">
        <v>2</v>
      </c>
      <c r="D107" s="59" t="s">
        <v>2</v>
      </c>
      <c r="E107" s="59" t="s">
        <v>2</v>
      </c>
      <c r="F107" s="59" t="s">
        <v>2</v>
      </c>
      <c r="G107" s="56"/>
    </row>
    <row r="108" spans="1:7" x14ac:dyDescent="0.25">
      <c r="A108" t="s">
        <v>1108</v>
      </c>
      <c r="B108" s="58" t="s">
        <v>2</v>
      </c>
      <c r="C108" s="66" t="s">
        <v>2</v>
      </c>
      <c r="D108" s="59" t="s">
        <v>2</v>
      </c>
      <c r="E108" s="59" t="s">
        <v>2</v>
      </c>
      <c r="F108" s="59" t="s">
        <v>2</v>
      </c>
      <c r="G108" s="56"/>
    </row>
    <row r="109" spans="1:7" x14ac:dyDescent="0.25">
      <c r="A109" t="s">
        <v>367</v>
      </c>
      <c r="B109" s="58" t="s">
        <v>2</v>
      </c>
      <c r="C109" s="66" t="s">
        <v>2</v>
      </c>
      <c r="D109" s="59" t="s">
        <v>2</v>
      </c>
      <c r="E109" s="59" t="s">
        <v>2</v>
      </c>
      <c r="F109" s="59" t="s">
        <v>2</v>
      </c>
      <c r="G109" s="56"/>
    </row>
    <row r="110" spans="1:7" x14ac:dyDescent="0.25">
      <c r="A110" t="s">
        <v>368</v>
      </c>
      <c r="B110" s="58">
        <v>12.5</v>
      </c>
      <c r="C110" s="66">
        <v>1.7999999999999999E-2</v>
      </c>
      <c r="D110" s="59">
        <v>17875</v>
      </c>
      <c r="E110" s="59">
        <v>16250</v>
      </c>
      <c r="F110" s="59">
        <v>19125</v>
      </c>
      <c r="G110" s="56"/>
    </row>
    <row r="111" spans="1:7" x14ac:dyDescent="0.25">
      <c r="A111" t="s">
        <v>369</v>
      </c>
      <c r="B111" s="58">
        <v>12.5</v>
      </c>
      <c r="C111" s="66">
        <v>1.7999999999999999E-2</v>
      </c>
      <c r="D111" s="59">
        <v>17875</v>
      </c>
      <c r="E111" s="59">
        <v>16250</v>
      </c>
      <c r="F111" s="59">
        <v>19125</v>
      </c>
      <c r="G111" s="56"/>
    </row>
    <row r="112" spans="1:7" x14ac:dyDescent="0.25">
      <c r="A112" t="s">
        <v>645</v>
      </c>
      <c r="B112" s="58" t="s">
        <v>2</v>
      </c>
      <c r="C112" s="66" t="s">
        <v>2</v>
      </c>
      <c r="D112" s="59" t="s">
        <v>2</v>
      </c>
      <c r="E112" s="59" t="s">
        <v>2</v>
      </c>
      <c r="F112" s="59" t="s">
        <v>2</v>
      </c>
      <c r="G112" s="56"/>
    </row>
    <row r="113" spans="1:7" x14ac:dyDescent="0.25">
      <c r="A113" t="s">
        <v>647</v>
      </c>
      <c r="B113" s="58" t="s">
        <v>2</v>
      </c>
      <c r="C113" s="66" t="s">
        <v>2</v>
      </c>
      <c r="D113" s="59" t="s">
        <v>2</v>
      </c>
      <c r="E113" s="59" t="s">
        <v>2</v>
      </c>
      <c r="F113" s="59" t="s">
        <v>2</v>
      </c>
      <c r="G113" s="56"/>
    </row>
    <row r="114" spans="1:7" x14ac:dyDescent="0.25">
      <c r="A114" t="s">
        <v>370</v>
      </c>
      <c r="B114" s="58" t="s">
        <v>2</v>
      </c>
      <c r="C114" s="66" t="s">
        <v>2</v>
      </c>
      <c r="D114" s="59" t="s">
        <v>2</v>
      </c>
      <c r="E114" s="59" t="s">
        <v>2</v>
      </c>
      <c r="F114" s="59" t="s">
        <v>2</v>
      </c>
      <c r="G114" s="56"/>
    </row>
    <row r="115" spans="1:7" x14ac:dyDescent="0.25">
      <c r="A115" t="s">
        <v>371</v>
      </c>
      <c r="B115" s="58" t="s">
        <v>2</v>
      </c>
      <c r="C115" s="66" t="s">
        <v>2</v>
      </c>
      <c r="D115" s="59" t="s">
        <v>2</v>
      </c>
      <c r="E115" s="59" t="s">
        <v>2</v>
      </c>
      <c r="F115" s="59" t="s">
        <v>2</v>
      </c>
      <c r="G115" s="56"/>
    </row>
    <row r="116" spans="1:7" x14ac:dyDescent="0.25">
      <c r="A116" t="s">
        <v>372</v>
      </c>
      <c r="B116" s="58" t="s">
        <v>2</v>
      </c>
      <c r="C116" s="66" t="s">
        <v>2</v>
      </c>
      <c r="D116" s="59" t="s">
        <v>2</v>
      </c>
      <c r="E116" s="59" t="s">
        <v>2</v>
      </c>
      <c r="F116" s="59" t="s">
        <v>2</v>
      </c>
      <c r="G116" s="56"/>
    </row>
    <row r="117" spans="1:7" x14ac:dyDescent="0.25">
      <c r="A117" t="s">
        <v>373</v>
      </c>
      <c r="B117" s="58">
        <v>12</v>
      </c>
      <c r="C117" s="66">
        <v>1.72E-2</v>
      </c>
      <c r="D117" s="59">
        <v>17160</v>
      </c>
      <c r="E117" s="59">
        <v>15600</v>
      </c>
      <c r="F117" s="59">
        <v>18360</v>
      </c>
      <c r="G117" s="56"/>
    </row>
    <row r="118" spans="1:7" x14ac:dyDescent="0.25">
      <c r="A118" t="s">
        <v>374</v>
      </c>
      <c r="B118" s="58">
        <v>12</v>
      </c>
      <c r="C118" s="66">
        <v>1.72E-2</v>
      </c>
      <c r="D118" s="59">
        <v>17160</v>
      </c>
      <c r="E118" s="59">
        <v>15600</v>
      </c>
      <c r="F118" s="59">
        <v>18360</v>
      </c>
      <c r="G118" s="56"/>
    </row>
    <row r="119" spans="1:7" x14ac:dyDescent="0.25">
      <c r="A119" t="s">
        <v>375</v>
      </c>
      <c r="B119" s="58">
        <v>12</v>
      </c>
      <c r="C119" s="66">
        <v>1.72E-2</v>
      </c>
      <c r="D119" s="59">
        <v>17160</v>
      </c>
      <c r="E119" s="59">
        <v>15600</v>
      </c>
      <c r="F119" s="59">
        <v>18360</v>
      </c>
      <c r="G119" s="56"/>
    </row>
    <row r="120" spans="1:7" x14ac:dyDescent="0.25">
      <c r="A120" t="s">
        <v>376</v>
      </c>
      <c r="B120" s="58" t="s">
        <v>2</v>
      </c>
      <c r="C120" s="66" t="s">
        <v>2</v>
      </c>
      <c r="D120" s="59" t="s">
        <v>2</v>
      </c>
      <c r="E120" s="59" t="s">
        <v>2</v>
      </c>
      <c r="F120" s="59" t="s">
        <v>2</v>
      </c>
      <c r="G120" s="56"/>
    </row>
    <row r="121" spans="1:7" x14ac:dyDescent="0.25">
      <c r="A121" t="s">
        <v>378</v>
      </c>
      <c r="B121" s="58">
        <v>12</v>
      </c>
      <c r="C121" s="66">
        <v>1.72E-2</v>
      </c>
      <c r="D121" s="59">
        <v>17160</v>
      </c>
      <c r="E121" s="59">
        <v>15600</v>
      </c>
      <c r="F121" s="59">
        <v>18360</v>
      </c>
      <c r="G121" s="56"/>
    </row>
    <row r="122" spans="1:7" x14ac:dyDescent="0.25">
      <c r="A122" t="s">
        <v>380</v>
      </c>
      <c r="B122" s="58">
        <v>12.249000000000001</v>
      </c>
      <c r="C122" s="66">
        <v>1.7999999999999999E-2</v>
      </c>
      <c r="D122" s="59">
        <v>17516.07</v>
      </c>
      <c r="E122" s="59">
        <v>15923.7</v>
      </c>
      <c r="F122" s="59">
        <v>18740.97</v>
      </c>
      <c r="G122" s="56"/>
    </row>
    <row r="123" spans="1:7" x14ac:dyDescent="0.25">
      <c r="A123" t="s">
        <v>381</v>
      </c>
      <c r="B123" s="58">
        <v>12.228</v>
      </c>
      <c r="C123" s="66">
        <v>1.7000000000000001E-2</v>
      </c>
      <c r="D123" s="59">
        <v>17486.04</v>
      </c>
      <c r="E123" s="59">
        <v>15896.4</v>
      </c>
      <c r="F123" s="59">
        <v>18708.84</v>
      </c>
      <c r="G123" s="56"/>
    </row>
    <row r="124" spans="1:7" x14ac:dyDescent="0.25">
      <c r="A124" t="s">
        <v>382</v>
      </c>
      <c r="B124" s="58">
        <v>12.5</v>
      </c>
      <c r="C124" s="66">
        <v>1.7999999999999999E-2</v>
      </c>
      <c r="D124" s="59">
        <v>17875</v>
      </c>
      <c r="E124" s="59">
        <v>16250</v>
      </c>
      <c r="F124" s="59">
        <v>19125</v>
      </c>
      <c r="G124" s="56"/>
    </row>
    <row r="125" spans="1:7" x14ac:dyDescent="0.25">
      <c r="A125" t="s">
        <v>214</v>
      </c>
      <c r="B125" s="58">
        <v>11.795999999999999</v>
      </c>
      <c r="C125" s="66">
        <v>1.7000000000000001E-2</v>
      </c>
      <c r="D125" s="59">
        <v>16868.28</v>
      </c>
      <c r="E125" s="59">
        <v>15334.8</v>
      </c>
      <c r="F125" s="59">
        <v>18047.879999999997</v>
      </c>
      <c r="G125" s="56"/>
    </row>
    <row r="126" spans="1:7" x14ac:dyDescent="0.25">
      <c r="A126" t="s">
        <v>219</v>
      </c>
      <c r="B126" s="58">
        <v>11.634</v>
      </c>
      <c r="C126" s="66">
        <v>1.7000000000000001E-2</v>
      </c>
      <c r="D126" s="59">
        <v>16636.62</v>
      </c>
      <c r="E126" s="59">
        <v>15124.2</v>
      </c>
      <c r="F126" s="59">
        <v>17800.02</v>
      </c>
      <c r="G126" s="56"/>
    </row>
    <row r="127" spans="1:7" x14ac:dyDescent="0.25">
      <c r="A127" t="s">
        <v>222</v>
      </c>
      <c r="B127" s="58">
        <v>11.484</v>
      </c>
      <c r="C127" s="66">
        <v>1.6E-2</v>
      </c>
      <c r="D127" s="59">
        <v>16422.12</v>
      </c>
      <c r="E127" s="59">
        <v>14929.2</v>
      </c>
      <c r="F127" s="59">
        <v>17570.52</v>
      </c>
      <c r="G127" s="56"/>
    </row>
    <row r="128" spans="1:7" x14ac:dyDescent="0.25">
      <c r="A128" t="s">
        <v>224</v>
      </c>
      <c r="B128" s="58">
        <v>11.808</v>
      </c>
      <c r="C128" s="66">
        <v>1.7000000000000001E-2</v>
      </c>
      <c r="D128" s="59">
        <v>16885.439999999999</v>
      </c>
      <c r="E128" s="59">
        <v>15350.4</v>
      </c>
      <c r="F128" s="59">
        <v>18066.239999999998</v>
      </c>
      <c r="G128" s="56"/>
    </row>
    <row r="129" spans="1:7" x14ac:dyDescent="0.25">
      <c r="A129" t="s">
        <v>491</v>
      </c>
      <c r="B129" s="58" t="s">
        <v>2</v>
      </c>
      <c r="C129" s="66" t="s">
        <v>2</v>
      </c>
      <c r="D129" s="59" t="s">
        <v>2</v>
      </c>
      <c r="E129" s="59" t="s">
        <v>2</v>
      </c>
      <c r="F129" s="59" t="s">
        <v>2</v>
      </c>
      <c r="G129" s="56"/>
    </row>
    <row r="130" spans="1:7" x14ac:dyDescent="0.25">
      <c r="A130" t="s">
        <v>494</v>
      </c>
      <c r="B130" s="58" t="s">
        <v>2</v>
      </c>
      <c r="C130" s="66" t="s">
        <v>2</v>
      </c>
      <c r="D130" s="59" t="s">
        <v>2</v>
      </c>
      <c r="E130" s="59" t="s">
        <v>2</v>
      </c>
      <c r="F130" s="59" t="s">
        <v>2</v>
      </c>
      <c r="G130" s="56"/>
    </row>
    <row r="131" spans="1:7" x14ac:dyDescent="0.25">
      <c r="A131" t="s">
        <v>384</v>
      </c>
      <c r="B131" s="58" t="s">
        <v>2</v>
      </c>
      <c r="C131" s="66" t="s">
        <v>2</v>
      </c>
      <c r="D131" s="59" t="s">
        <v>2</v>
      </c>
      <c r="E131" s="59" t="s">
        <v>2</v>
      </c>
      <c r="F131" s="59" t="s">
        <v>2</v>
      </c>
      <c r="G131" s="56"/>
    </row>
    <row r="132" spans="1:7" x14ac:dyDescent="0.25">
      <c r="A132" t="s">
        <v>482</v>
      </c>
      <c r="B132" s="58" t="s">
        <v>2</v>
      </c>
      <c r="C132" s="66" t="s">
        <v>2</v>
      </c>
      <c r="D132" s="59" t="s">
        <v>2</v>
      </c>
      <c r="E132" s="59" t="s">
        <v>2</v>
      </c>
      <c r="F132" s="59" t="s">
        <v>2</v>
      </c>
      <c r="G132" s="56"/>
    </row>
    <row r="133" spans="1:7" x14ac:dyDescent="0.25">
      <c r="A133" t="s">
        <v>496</v>
      </c>
      <c r="B133" s="58" t="s">
        <v>2</v>
      </c>
      <c r="C133" s="66" t="s">
        <v>2</v>
      </c>
      <c r="D133" s="59" t="s">
        <v>2</v>
      </c>
      <c r="E133" s="59" t="s">
        <v>2</v>
      </c>
      <c r="F133" s="59" t="s">
        <v>2</v>
      </c>
      <c r="G133" s="56"/>
    </row>
    <row r="134" spans="1:7" x14ac:dyDescent="0.25">
      <c r="A134" t="s">
        <v>495</v>
      </c>
      <c r="B134" s="58" t="s">
        <v>2</v>
      </c>
      <c r="C134" s="66" t="s">
        <v>2</v>
      </c>
      <c r="D134" s="59" t="s">
        <v>2</v>
      </c>
      <c r="E134" s="59" t="s">
        <v>2</v>
      </c>
      <c r="F134" s="59" t="s">
        <v>2</v>
      </c>
      <c r="G134" s="56"/>
    </row>
    <row r="135" spans="1:7" x14ac:dyDescent="0.25">
      <c r="A135" t="s">
        <v>386</v>
      </c>
      <c r="B135" s="58" t="s">
        <v>2</v>
      </c>
      <c r="C135" s="66" t="s">
        <v>2</v>
      </c>
      <c r="D135" s="59" t="s">
        <v>2</v>
      </c>
      <c r="E135" s="59" t="s">
        <v>2</v>
      </c>
      <c r="F135" s="59" t="s">
        <v>2</v>
      </c>
      <c r="G135" s="56"/>
    </row>
    <row r="136" spans="1:7" x14ac:dyDescent="0.25">
      <c r="A136" t="s">
        <v>497</v>
      </c>
      <c r="B136" s="58" t="s">
        <v>2</v>
      </c>
      <c r="C136" s="66" t="s">
        <v>2</v>
      </c>
      <c r="D136" s="59" t="s">
        <v>2</v>
      </c>
      <c r="E136" s="59" t="s">
        <v>2</v>
      </c>
      <c r="F136" s="59" t="s">
        <v>2</v>
      </c>
      <c r="G136" s="56"/>
    </row>
    <row r="137" spans="1:7" x14ac:dyDescent="0.25">
      <c r="A137" t="s">
        <v>485</v>
      </c>
      <c r="B137" s="58" t="s">
        <v>2</v>
      </c>
      <c r="C137" s="66" t="s">
        <v>2</v>
      </c>
      <c r="D137" s="59" t="s">
        <v>2</v>
      </c>
      <c r="E137" s="59" t="s">
        <v>2</v>
      </c>
      <c r="F137" s="59" t="s">
        <v>2</v>
      </c>
      <c r="G137" s="56"/>
    </row>
    <row r="138" spans="1:7" x14ac:dyDescent="0.25">
      <c r="A138" t="s">
        <v>387</v>
      </c>
      <c r="B138" s="58" t="s">
        <v>46</v>
      </c>
      <c r="C138" s="66" t="s">
        <v>46</v>
      </c>
      <c r="D138" s="59" t="s">
        <v>46</v>
      </c>
      <c r="E138" s="59" t="s">
        <v>2</v>
      </c>
      <c r="F138" s="59" t="s">
        <v>2</v>
      </c>
      <c r="G138" s="56"/>
    </row>
    <row r="139" spans="1:7" x14ac:dyDescent="0.25">
      <c r="A139" t="s">
        <v>388</v>
      </c>
      <c r="B139" s="58" t="s">
        <v>2</v>
      </c>
      <c r="C139" s="66" t="s">
        <v>2</v>
      </c>
      <c r="D139" s="59" t="s">
        <v>2</v>
      </c>
      <c r="E139" s="59" t="s">
        <v>2</v>
      </c>
      <c r="F139" s="59" t="s">
        <v>2</v>
      </c>
      <c r="G139" s="56"/>
    </row>
    <row r="140" spans="1:7" x14ac:dyDescent="0.25">
      <c r="A140" t="s">
        <v>389</v>
      </c>
      <c r="B140" s="58">
        <v>10.6</v>
      </c>
      <c r="C140" s="66">
        <v>3.4000000000000002E-2</v>
      </c>
      <c r="D140" s="59">
        <v>34132</v>
      </c>
      <c r="E140" s="55">
        <v>35510</v>
      </c>
      <c r="F140" s="55">
        <v>38160</v>
      </c>
      <c r="G140" s="56"/>
    </row>
    <row r="141" spans="1:7" x14ac:dyDescent="0.25">
      <c r="A141" t="s">
        <v>390</v>
      </c>
      <c r="B141" s="58" t="s">
        <v>2</v>
      </c>
      <c r="C141" s="66" t="s">
        <v>2</v>
      </c>
      <c r="D141" s="59" t="s">
        <v>2</v>
      </c>
      <c r="E141" s="59" t="s">
        <v>2</v>
      </c>
      <c r="F141" s="59" t="s">
        <v>2</v>
      </c>
      <c r="G141" s="56"/>
    </row>
    <row r="142" spans="1:7" x14ac:dyDescent="0.25">
      <c r="A142" t="s">
        <v>391</v>
      </c>
      <c r="B142" s="58" t="s">
        <v>2</v>
      </c>
      <c r="C142" s="66" t="s">
        <v>2</v>
      </c>
      <c r="D142" s="59" t="s">
        <v>2</v>
      </c>
      <c r="E142" s="59" t="s">
        <v>2</v>
      </c>
      <c r="F142" s="59" t="s">
        <v>2</v>
      </c>
      <c r="G142" s="56"/>
    </row>
    <row r="143" spans="1:7" x14ac:dyDescent="0.25">
      <c r="A143" t="s">
        <v>899</v>
      </c>
      <c r="B143" s="58" t="s">
        <v>2</v>
      </c>
      <c r="C143" s="66" t="s">
        <v>2</v>
      </c>
      <c r="D143" s="59" t="s">
        <v>2</v>
      </c>
      <c r="E143" s="59" t="s">
        <v>2</v>
      </c>
      <c r="F143" s="59" t="s">
        <v>2</v>
      </c>
      <c r="G143" s="56"/>
    </row>
    <row r="144" spans="1:7" x14ac:dyDescent="0.25">
      <c r="A144" t="s">
        <v>899</v>
      </c>
      <c r="B144" s="58" t="s">
        <v>2</v>
      </c>
      <c r="C144" s="66" t="s">
        <v>2</v>
      </c>
      <c r="D144" s="59" t="s">
        <v>2</v>
      </c>
      <c r="E144" s="59" t="s">
        <v>2</v>
      </c>
      <c r="F144" s="59" t="s">
        <v>2</v>
      </c>
      <c r="G144" s="56"/>
    </row>
    <row r="145" spans="1:7" x14ac:dyDescent="0.25">
      <c r="A145" t="s">
        <v>901</v>
      </c>
      <c r="B145" s="58" t="s">
        <v>2</v>
      </c>
      <c r="C145" s="66" t="s">
        <v>2</v>
      </c>
      <c r="D145" s="59" t="s">
        <v>2</v>
      </c>
      <c r="E145" s="59" t="s">
        <v>2</v>
      </c>
      <c r="F145" s="59" t="s">
        <v>2</v>
      </c>
      <c r="G145" s="56"/>
    </row>
    <row r="146" spans="1:7" x14ac:dyDescent="0.25">
      <c r="A146" t="s">
        <v>246</v>
      </c>
      <c r="B146" s="58" t="s">
        <v>2</v>
      </c>
      <c r="C146" s="66" t="s">
        <v>2</v>
      </c>
      <c r="D146" s="59" t="s">
        <v>2</v>
      </c>
      <c r="E146" s="59" t="s">
        <v>2</v>
      </c>
      <c r="F146" s="59" t="s">
        <v>2</v>
      </c>
      <c r="G146" s="56"/>
    </row>
    <row r="147" spans="1:7" x14ac:dyDescent="0.25">
      <c r="A147" t="s">
        <v>618</v>
      </c>
      <c r="B147" s="58">
        <v>10.353999999999999</v>
      </c>
      <c r="C147" s="66">
        <v>1.4999999999999999E-2</v>
      </c>
      <c r="D147" s="59">
        <v>14806.22</v>
      </c>
      <c r="E147" s="59">
        <v>13460.199999999999</v>
      </c>
      <c r="F147" s="59">
        <v>15841.619999999999</v>
      </c>
      <c r="G147" s="56"/>
    </row>
    <row r="148" spans="1:7" x14ac:dyDescent="0.25">
      <c r="A148" t="s">
        <v>414</v>
      </c>
      <c r="B148" s="58">
        <v>10.37</v>
      </c>
      <c r="C148" s="66">
        <v>1.4999999999999999E-2</v>
      </c>
      <c r="D148" s="59">
        <v>14829.099999999999</v>
      </c>
      <c r="E148" s="59">
        <v>13480.999999999998</v>
      </c>
      <c r="F148" s="59">
        <v>15866.099999999999</v>
      </c>
      <c r="G148" s="56"/>
    </row>
    <row r="149" spans="1:7" x14ac:dyDescent="0.25">
      <c r="A149" t="s">
        <v>479</v>
      </c>
      <c r="B149" s="58" t="s">
        <v>2</v>
      </c>
      <c r="C149" s="66" t="s">
        <v>2</v>
      </c>
      <c r="D149" s="59" t="s">
        <v>2</v>
      </c>
      <c r="E149" s="59" t="s">
        <v>2</v>
      </c>
      <c r="F149" s="59" t="s">
        <v>2</v>
      </c>
      <c r="G149" s="56"/>
    </row>
    <row r="150" spans="1:7" x14ac:dyDescent="0.25">
      <c r="A150" t="s">
        <v>799</v>
      </c>
      <c r="B150" s="58">
        <v>9.5</v>
      </c>
      <c r="C150" s="66">
        <v>1.2999999999999999E-5</v>
      </c>
      <c r="D150" s="59">
        <v>13.015000000000001</v>
      </c>
      <c r="E150" s="59" t="s">
        <v>1153</v>
      </c>
      <c r="F150" s="59">
        <v>13</v>
      </c>
      <c r="G150" s="56"/>
    </row>
    <row r="151" spans="1:7" x14ac:dyDescent="0.25">
      <c r="A151" t="s">
        <v>902</v>
      </c>
      <c r="B151" s="58" t="s">
        <v>2</v>
      </c>
      <c r="C151" s="66" t="s">
        <v>2</v>
      </c>
      <c r="D151" s="59" t="s">
        <v>2</v>
      </c>
      <c r="E151" s="59" t="s">
        <v>2</v>
      </c>
      <c r="F151" s="59" t="s">
        <v>2</v>
      </c>
      <c r="G151" s="56"/>
    </row>
    <row r="152" spans="1:7" x14ac:dyDescent="0.25">
      <c r="A152" t="s">
        <v>903</v>
      </c>
      <c r="B152" s="58" t="s">
        <v>2</v>
      </c>
      <c r="C152" s="66" t="s">
        <v>2</v>
      </c>
      <c r="D152" s="59" t="s">
        <v>2</v>
      </c>
      <c r="E152" s="59" t="s">
        <v>2</v>
      </c>
      <c r="F152" s="59" t="s">
        <v>2</v>
      </c>
      <c r="G152" s="56"/>
    </row>
    <row r="153" spans="1:7" x14ac:dyDescent="0.25">
      <c r="A153" t="s">
        <v>411</v>
      </c>
      <c r="B153" s="58" t="s">
        <v>2</v>
      </c>
      <c r="C153" s="66" t="s">
        <v>2</v>
      </c>
      <c r="D153" s="59" t="s">
        <v>2</v>
      </c>
      <c r="E153" s="59" t="s">
        <v>2</v>
      </c>
      <c r="F153" s="59" t="s">
        <v>2</v>
      </c>
      <c r="G153" s="56"/>
    </row>
    <row r="154" spans="1:7" x14ac:dyDescent="0.25">
      <c r="A154" t="s">
        <v>392</v>
      </c>
      <c r="B154" s="58" t="s">
        <v>2</v>
      </c>
      <c r="C154" s="66" t="s">
        <v>2</v>
      </c>
      <c r="D154" s="59" t="s">
        <v>2</v>
      </c>
      <c r="E154" s="59" t="s">
        <v>2</v>
      </c>
      <c r="F154" s="59" t="s">
        <v>2</v>
      </c>
      <c r="G154" s="56"/>
    </row>
    <row r="155" spans="1:7" x14ac:dyDescent="0.25">
      <c r="A155" t="s">
        <v>394</v>
      </c>
      <c r="B155" s="58">
        <v>18</v>
      </c>
      <c r="C155" s="66">
        <v>2.5700000000000001E-2</v>
      </c>
      <c r="D155" s="59">
        <v>25740</v>
      </c>
      <c r="E155" s="59">
        <v>23400</v>
      </c>
      <c r="F155" s="59">
        <v>27540</v>
      </c>
      <c r="G155" s="56"/>
    </row>
    <row r="156" spans="1:7" x14ac:dyDescent="0.25">
      <c r="A156" t="s">
        <v>741</v>
      </c>
      <c r="B156" s="58">
        <v>8.15</v>
      </c>
      <c r="C156" s="66">
        <v>1.2E-2</v>
      </c>
      <c r="D156" s="59">
        <v>11654.5</v>
      </c>
      <c r="E156" s="59">
        <v>10595</v>
      </c>
      <c r="F156" s="59">
        <v>12469.5</v>
      </c>
      <c r="G156" s="56"/>
    </row>
    <row r="157" spans="1:7" x14ac:dyDescent="0.25">
      <c r="A157" t="s">
        <v>742</v>
      </c>
      <c r="B157" s="58">
        <v>10.24</v>
      </c>
      <c r="C157" s="66">
        <v>1.4999999999999999E-2</v>
      </c>
      <c r="D157" s="59">
        <v>14643.2</v>
      </c>
      <c r="E157" s="59">
        <v>13312</v>
      </c>
      <c r="F157" s="59">
        <v>15667.2</v>
      </c>
      <c r="G157" s="56"/>
    </row>
    <row r="158" spans="1:7" x14ac:dyDescent="0.25">
      <c r="A158" t="s">
        <v>501</v>
      </c>
      <c r="B158" s="58" t="s">
        <v>2</v>
      </c>
      <c r="C158" s="66" t="s">
        <v>2</v>
      </c>
      <c r="D158" s="59" t="s">
        <v>2</v>
      </c>
      <c r="E158" s="59" t="s">
        <v>2</v>
      </c>
      <c r="F158" s="59" t="s">
        <v>2</v>
      </c>
      <c r="G158" s="56"/>
    </row>
    <row r="159" spans="1:7" x14ac:dyDescent="0.25">
      <c r="A159" t="s">
        <v>502</v>
      </c>
      <c r="B159" s="58" t="s">
        <v>2</v>
      </c>
      <c r="C159" s="66" t="s">
        <v>2</v>
      </c>
      <c r="D159" s="59" t="s">
        <v>2</v>
      </c>
      <c r="E159" s="59" t="s">
        <v>2</v>
      </c>
      <c r="F159" s="59" t="s">
        <v>2</v>
      </c>
      <c r="G159" s="56"/>
    </row>
    <row r="160" spans="1:7" x14ac:dyDescent="0.25">
      <c r="G160" s="56"/>
    </row>
    <row r="162" spans="1:1" x14ac:dyDescent="0.25">
      <c r="A162" t="s">
        <v>1155</v>
      </c>
    </row>
    <row r="164" spans="1:1" x14ac:dyDescent="0.25">
      <c r="A164" s="108" t="s">
        <v>1178</v>
      </c>
    </row>
    <row r="165" spans="1:1" x14ac:dyDescent="0.25">
      <c r="A165" s="1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1056-5967-469A-A5B2-CF0000509A84}">
  <dimension ref="A1:R29"/>
  <sheetViews>
    <sheetView topLeftCell="G1" workbookViewId="0">
      <selection activeCell="P1" sqref="P1"/>
    </sheetView>
  </sheetViews>
  <sheetFormatPr defaultColWidth="10.875" defaultRowHeight="15" x14ac:dyDescent="0.25"/>
  <cols>
    <col min="1" max="1" width="32.625" style="2" customWidth="1"/>
    <col min="2" max="2" width="25.125" style="2" customWidth="1"/>
    <col min="3" max="3" width="42.625" style="2" customWidth="1"/>
    <col min="4" max="4" width="21" style="2" customWidth="1"/>
    <col min="5" max="5" width="15.75" style="2" customWidth="1"/>
    <col min="6" max="7" width="12.125" style="2" customWidth="1"/>
    <col min="8" max="8" width="15" style="1" customWidth="1"/>
    <col min="9" max="9" width="15.25" style="1" customWidth="1"/>
    <col min="10" max="10" width="14.875" style="2" customWidth="1"/>
    <col min="11" max="11" width="11.625" style="2" customWidth="1"/>
    <col min="12" max="12" width="10.375" style="2" customWidth="1"/>
    <col min="13" max="13" width="17.625" style="2" customWidth="1"/>
    <col min="14" max="14" width="11.875" style="2" customWidth="1"/>
    <col min="15" max="15" width="18.5" style="2" customWidth="1"/>
    <col min="16" max="16" width="17" style="2" customWidth="1"/>
    <col min="17" max="17" width="21.875" style="3" customWidth="1"/>
    <col min="18" max="18" width="22" style="2" customWidth="1"/>
    <col min="19" max="19" width="109.5" style="2" customWidth="1"/>
    <col min="20" max="16384" width="10.875" style="2"/>
  </cols>
  <sheetData>
    <row r="1" spans="1:18" s="5" customFormat="1" ht="100.5" x14ac:dyDescent="0.25">
      <c r="A1" s="7" t="s">
        <v>974</v>
      </c>
      <c r="B1" s="7" t="s">
        <v>975</v>
      </c>
      <c r="C1" s="7" t="s">
        <v>976</v>
      </c>
      <c r="D1" s="7" t="s">
        <v>436</v>
      </c>
      <c r="E1" s="7" t="s">
        <v>990</v>
      </c>
      <c r="F1" s="7" t="s">
        <v>977</v>
      </c>
      <c r="G1" s="7" t="s">
        <v>978</v>
      </c>
      <c r="H1" s="7" t="s">
        <v>985</v>
      </c>
      <c r="I1" s="7" t="s">
        <v>993</v>
      </c>
      <c r="J1" s="7" t="s">
        <v>439</v>
      </c>
      <c r="K1" s="7" t="s">
        <v>440</v>
      </c>
      <c r="L1" s="7" t="s">
        <v>1109</v>
      </c>
      <c r="M1" s="7" t="s">
        <v>971</v>
      </c>
      <c r="N1" s="7" t="s">
        <v>0</v>
      </c>
      <c r="O1" s="7" t="s">
        <v>963</v>
      </c>
      <c r="P1" s="7" t="s">
        <v>1022</v>
      </c>
      <c r="Q1" s="7" t="s">
        <v>442</v>
      </c>
      <c r="R1" s="7" t="s">
        <v>460</v>
      </c>
    </row>
    <row r="2" spans="1:18" ht="30" x14ac:dyDescent="0.25">
      <c r="A2" s="2" t="s">
        <v>55</v>
      </c>
      <c r="B2" s="2" t="s">
        <v>446</v>
      </c>
      <c r="C2" s="2" t="s">
        <v>56</v>
      </c>
      <c r="D2" s="2" t="s">
        <v>986</v>
      </c>
      <c r="E2" s="2" t="s">
        <v>259</v>
      </c>
      <c r="F2" s="2" t="s">
        <v>3</v>
      </c>
      <c r="G2" s="29">
        <v>10</v>
      </c>
      <c r="H2" s="47">
        <v>8.27</v>
      </c>
      <c r="I2" s="1">
        <f t="shared" ref="I2:I3" si="0">H2/G2</f>
        <v>0.82699999999999996</v>
      </c>
      <c r="J2" s="2" t="s">
        <v>7</v>
      </c>
      <c r="K2" s="2" t="s">
        <v>7</v>
      </c>
      <c r="L2" s="29">
        <v>667</v>
      </c>
      <c r="M2" s="3" t="str">
        <f>IF(Table133[[#This Row],[Indicative carbon footprint /inhaler (g CO2e)]]&lt;1700,"Low","High")</f>
        <v>Low</v>
      </c>
      <c r="N2" s="1"/>
      <c r="O2" s="2" t="s">
        <v>964</v>
      </c>
      <c r="P2" s="45" t="s">
        <v>991</v>
      </c>
      <c r="Q2" s="2" t="s">
        <v>34</v>
      </c>
      <c r="R2" s="44" t="s">
        <v>964</v>
      </c>
    </row>
    <row r="3" spans="1:18" ht="45" x14ac:dyDescent="0.25">
      <c r="A3" s="2" t="s">
        <v>67</v>
      </c>
      <c r="B3" s="2" t="s">
        <v>972</v>
      </c>
      <c r="C3" s="2" t="s">
        <v>425</v>
      </c>
      <c r="D3" s="2" t="s">
        <v>987</v>
      </c>
      <c r="E3" s="2" t="s">
        <v>260</v>
      </c>
      <c r="F3" s="2" t="s">
        <v>3</v>
      </c>
      <c r="G3" s="2">
        <v>56</v>
      </c>
      <c r="H3" s="1">
        <v>968.8</v>
      </c>
      <c r="I3" s="1">
        <f t="shared" si="0"/>
        <v>17.3</v>
      </c>
      <c r="J3" s="2" t="s">
        <v>57</v>
      </c>
      <c r="K3" s="2" t="s">
        <v>57</v>
      </c>
      <c r="L3" s="29">
        <v>667</v>
      </c>
      <c r="M3" s="3" t="str">
        <f>IF(Table133[[#This Row],[Indicative carbon footprint /inhaler (g CO2e)]]&lt;1700,"Low","High")</f>
        <v>Low</v>
      </c>
      <c r="N3" s="1"/>
      <c r="O3" s="2" t="s">
        <v>964</v>
      </c>
      <c r="P3" s="4" t="s">
        <v>69</v>
      </c>
      <c r="Q3" s="2" t="s">
        <v>34</v>
      </c>
      <c r="R3" s="44" t="s">
        <v>964</v>
      </c>
    </row>
    <row r="4" spans="1:18" ht="45" x14ac:dyDescent="0.25">
      <c r="A4" s="2" t="s">
        <v>154</v>
      </c>
      <c r="B4" s="2" t="s">
        <v>446</v>
      </c>
      <c r="C4" s="2" t="s">
        <v>155</v>
      </c>
      <c r="D4" s="2" t="s">
        <v>988</v>
      </c>
      <c r="E4" s="2" t="s">
        <v>989</v>
      </c>
      <c r="F4" s="2" t="s">
        <v>3</v>
      </c>
      <c r="G4" s="2">
        <v>1</v>
      </c>
      <c r="H4" s="1" t="s">
        <v>984</v>
      </c>
      <c r="I4" s="1" t="s">
        <v>984</v>
      </c>
      <c r="J4" s="2" t="s">
        <v>7</v>
      </c>
      <c r="K4" s="2" t="s">
        <v>7</v>
      </c>
      <c r="L4" s="29">
        <v>667</v>
      </c>
      <c r="M4" s="3" t="str">
        <f>IF(Table133[[#This Row],[Indicative carbon footprint /inhaler (g CO2e)]]&lt;1700,"Low","High")</f>
        <v>Low</v>
      </c>
      <c r="N4" s="1"/>
      <c r="O4" s="2" t="s">
        <v>964</v>
      </c>
      <c r="P4" s="4" t="s">
        <v>156</v>
      </c>
      <c r="Q4" s="2" t="s">
        <v>34</v>
      </c>
      <c r="R4" s="44" t="s">
        <v>964</v>
      </c>
    </row>
    <row r="5" spans="1:18" ht="45" x14ac:dyDescent="0.25">
      <c r="A5" s="2" t="s">
        <v>157</v>
      </c>
      <c r="B5" s="2" t="s">
        <v>446</v>
      </c>
      <c r="C5" s="2" t="s">
        <v>158</v>
      </c>
      <c r="D5" s="2" t="s">
        <v>988</v>
      </c>
      <c r="E5" s="2" t="s">
        <v>989</v>
      </c>
      <c r="F5" s="2" t="s">
        <v>3</v>
      </c>
      <c r="G5" s="2">
        <v>1</v>
      </c>
      <c r="H5" s="1" t="s">
        <v>984</v>
      </c>
      <c r="I5" s="1" t="s">
        <v>984</v>
      </c>
      <c r="J5" s="2" t="s">
        <v>7</v>
      </c>
      <c r="K5" s="2" t="s">
        <v>7</v>
      </c>
      <c r="L5" s="29">
        <v>667</v>
      </c>
      <c r="M5" s="3" t="str">
        <f>IF(Table133[[#This Row],[Indicative carbon footprint /inhaler (g CO2e)]]&lt;1700,"Low","High")</f>
        <v>Low</v>
      </c>
      <c r="O5" s="2" t="s">
        <v>964</v>
      </c>
      <c r="P5" s="4" t="s">
        <v>159</v>
      </c>
      <c r="Q5" s="2" t="s">
        <v>34</v>
      </c>
      <c r="R5" s="44" t="s">
        <v>964</v>
      </c>
    </row>
    <row r="6" spans="1:18" ht="45" x14ac:dyDescent="0.25">
      <c r="A6" s="2" t="s">
        <v>160</v>
      </c>
      <c r="B6" s="2" t="s">
        <v>446</v>
      </c>
      <c r="C6" s="2" t="s">
        <v>161</v>
      </c>
      <c r="D6" s="2" t="s">
        <v>988</v>
      </c>
      <c r="E6" s="2" t="s">
        <v>989</v>
      </c>
      <c r="F6" s="2" t="s">
        <v>3</v>
      </c>
      <c r="G6" s="2">
        <v>15</v>
      </c>
      <c r="H6" s="1" t="s">
        <v>984</v>
      </c>
      <c r="I6" s="1" t="s">
        <v>984</v>
      </c>
      <c r="J6" s="2" t="s">
        <v>7</v>
      </c>
      <c r="K6" s="2" t="s">
        <v>7</v>
      </c>
      <c r="L6" s="29">
        <v>667</v>
      </c>
      <c r="M6" s="3" t="str">
        <f>IF(Table133[[#This Row],[Indicative carbon footprint /inhaler (g CO2e)]]&lt;1700,"Low","High")</f>
        <v>Low</v>
      </c>
      <c r="N6" s="1"/>
      <c r="O6" s="2" t="s">
        <v>964</v>
      </c>
      <c r="P6" s="4" t="s">
        <v>162</v>
      </c>
      <c r="Q6" s="2" t="s">
        <v>34</v>
      </c>
      <c r="R6" s="44" t="s">
        <v>964</v>
      </c>
    </row>
    <row r="7" spans="1:18" ht="45" x14ac:dyDescent="0.25">
      <c r="A7" s="2" t="s">
        <v>163</v>
      </c>
      <c r="B7" s="2" t="s">
        <v>446</v>
      </c>
      <c r="C7" s="2" t="s">
        <v>164</v>
      </c>
      <c r="D7" s="2" t="s">
        <v>988</v>
      </c>
      <c r="E7" s="2" t="s">
        <v>989</v>
      </c>
      <c r="F7" s="2" t="s">
        <v>3</v>
      </c>
      <c r="G7" s="2">
        <v>1</v>
      </c>
      <c r="H7" s="1" t="s">
        <v>984</v>
      </c>
      <c r="I7" s="1" t="s">
        <v>984</v>
      </c>
      <c r="J7" s="2" t="s">
        <v>7</v>
      </c>
      <c r="K7" s="2" t="s">
        <v>7</v>
      </c>
      <c r="L7" s="29">
        <v>667</v>
      </c>
      <c r="M7" s="3" t="str">
        <f>IF(Table133[[#This Row],[Indicative carbon footprint /inhaler (g CO2e)]]&lt;1700,"Low","High")</f>
        <v>Low</v>
      </c>
      <c r="N7" s="1"/>
      <c r="O7" s="2" t="s">
        <v>964</v>
      </c>
      <c r="P7" s="4" t="s">
        <v>165</v>
      </c>
      <c r="Q7" s="2" t="s">
        <v>34</v>
      </c>
      <c r="R7" s="44" t="s">
        <v>964</v>
      </c>
    </row>
    <row r="8" spans="1:18" ht="30" x14ac:dyDescent="0.25">
      <c r="A8" s="2" t="s">
        <v>169</v>
      </c>
      <c r="B8" s="2" t="s">
        <v>447</v>
      </c>
      <c r="C8" s="2" t="s">
        <v>170</v>
      </c>
      <c r="D8" s="2" t="s">
        <v>68</v>
      </c>
      <c r="E8" s="2" t="s">
        <v>261</v>
      </c>
      <c r="F8" s="2" t="s">
        <v>264</v>
      </c>
      <c r="G8" s="2">
        <v>1</v>
      </c>
      <c r="H8" s="1">
        <v>18.46</v>
      </c>
      <c r="I8" s="1">
        <f t="shared" ref="I8:I10" si="1">H8/G8</f>
        <v>18.46</v>
      </c>
      <c r="J8" s="2" t="s">
        <v>7</v>
      </c>
      <c r="K8" s="2" t="s">
        <v>7</v>
      </c>
      <c r="L8" s="29">
        <v>840</v>
      </c>
      <c r="M8" s="3" t="str">
        <f>IF(Table133[[#This Row],[Indicative carbon footprint /inhaler (g CO2e)]]&lt;1700,"Low","High")</f>
        <v>Low</v>
      </c>
      <c r="O8" s="2" t="s">
        <v>973</v>
      </c>
      <c r="P8" s="4" t="s">
        <v>171</v>
      </c>
      <c r="Q8" s="2" t="s">
        <v>34</v>
      </c>
      <c r="R8" s="44" t="s">
        <v>1064</v>
      </c>
    </row>
    <row r="9" spans="1:18" ht="30" x14ac:dyDescent="0.25">
      <c r="A9" s="2" t="s">
        <v>184</v>
      </c>
      <c r="B9" s="2" t="s">
        <v>30</v>
      </c>
      <c r="C9" s="2" t="s">
        <v>185</v>
      </c>
      <c r="D9" s="2" t="s">
        <v>68</v>
      </c>
      <c r="E9" s="2" t="s">
        <v>262</v>
      </c>
      <c r="F9" s="2" t="s">
        <v>3</v>
      </c>
      <c r="G9" s="2">
        <v>20</v>
      </c>
      <c r="H9" s="1">
        <v>16.36</v>
      </c>
      <c r="I9" s="1">
        <f t="shared" si="1"/>
        <v>0.81799999999999995</v>
      </c>
      <c r="J9" s="2" t="s">
        <v>100</v>
      </c>
      <c r="K9" s="2" t="s">
        <v>265</v>
      </c>
      <c r="L9" s="29">
        <v>667</v>
      </c>
      <c r="M9" s="3" t="str">
        <f>IF(Table133[[#This Row],[Indicative carbon footprint /inhaler (g CO2e)]]&lt;1700,"Low","High")</f>
        <v>Low</v>
      </c>
      <c r="O9" s="2" t="s">
        <v>964</v>
      </c>
      <c r="P9" s="4" t="s">
        <v>186</v>
      </c>
      <c r="Q9" s="2" t="s">
        <v>34</v>
      </c>
      <c r="R9" s="44" t="s">
        <v>964</v>
      </c>
    </row>
    <row r="10" spans="1:18" ht="30" x14ac:dyDescent="0.25">
      <c r="A10" s="2" t="s">
        <v>243</v>
      </c>
      <c r="B10" s="2" t="s">
        <v>992</v>
      </c>
      <c r="C10" s="2" t="s">
        <v>244</v>
      </c>
      <c r="D10" s="2" t="s">
        <v>68</v>
      </c>
      <c r="E10" s="2" t="s">
        <v>263</v>
      </c>
      <c r="F10" s="2" t="s">
        <v>3</v>
      </c>
      <c r="G10" s="2">
        <v>224</v>
      </c>
      <c r="H10" s="1">
        <v>1790</v>
      </c>
      <c r="I10" s="1">
        <f t="shared" si="1"/>
        <v>7.9910714285714288</v>
      </c>
      <c r="J10" s="2" t="s">
        <v>57</v>
      </c>
      <c r="K10" s="2" t="s">
        <v>57</v>
      </c>
      <c r="L10" s="29">
        <v>667</v>
      </c>
      <c r="M10" s="3" t="str">
        <f>IF(Table133[[#This Row],[Indicative carbon footprint /inhaler (g CO2e)]]&lt;1700,"Low","High")</f>
        <v>Low</v>
      </c>
      <c r="O10" s="2" t="s">
        <v>964</v>
      </c>
      <c r="P10" s="4" t="s">
        <v>245</v>
      </c>
      <c r="Q10" s="2" t="s">
        <v>34</v>
      </c>
      <c r="R10" s="44" t="s">
        <v>964</v>
      </c>
    </row>
    <row r="11" spans="1:18" x14ac:dyDescent="0.25">
      <c r="A11" s="35"/>
      <c r="M11" s="36"/>
      <c r="N11" s="37"/>
      <c r="P11" s="3"/>
      <c r="Q11" s="2"/>
    </row>
    <row r="12" spans="1:18" x14ac:dyDescent="0.25">
      <c r="A12" s="12"/>
      <c r="B12" s="13"/>
      <c r="C12" s="13"/>
      <c r="D12" s="13"/>
      <c r="E12" s="13"/>
      <c r="F12" s="13"/>
      <c r="G12" s="13"/>
      <c r="H12" s="9"/>
      <c r="I12" s="9"/>
      <c r="J12" s="13"/>
      <c r="K12" s="13"/>
      <c r="L12" s="13"/>
      <c r="M12" s="15"/>
      <c r="N12" s="16"/>
      <c r="O12" s="9"/>
      <c r="P12" s="14"/>
      <c r="Q12" s="13"/>
      <c r="R12" s="13"/>
    </row>
    <row r="13" spans="1:18" ht="15.75" x14ac:dyDescent="0.25">
      <c r="A13" s="10"/>
      <c r="B13" s="8"/>
    </row>
    <row r="14" spans="1:18" x14ac:dyDescent="0.25">
      <c r="A14" s="11"/>
      <c r="B14" s="8"/>
    </row>
    <row r="15" spans="1:18" x14ac:dyDescent="0.25">
      <c r="A15" s="11"/>
      <c r="B15" s="8"/>
    </row>
    <row r="16" spans="1:18" x14ac:dyDescent="0.25">
      <c r="A16" s="11"/>
      <c r="B16" s="8"/>
    </row>
    <row r="17" spans="1:2" x14ac:dyDescent="0.25">
      <c r="A17" s="11"/>
      <c r="B17" s="8"/>
    </row>
    <row r="18" spans="1:2" x14ac:dyDescent="0.25">
      <c r="A18" s="11"/>
      <c r="B18" s="8"/>
    </row>
    <row r="19" spans="1:2" x14ac:dyDescent="0.25">
      <c r="A19" s="11"/>
    </row>
    <row r="20" spans="1:2" x14ac:dyDescent="0.25">
      <c r="A20" s="11"/>
    </row>
    <row r="21" spans="1:2" x14ac:dyDescent="0.25">
      <c r="A21" s="11"/>
    </row>
    <row r="22" spans="1:2" x14ac:dyDescent="0.25">
      <c r="A22" s="11"/>
    </row>
    <row r="23" spans="1:2" x14ac:dyDescent="0.25">
      <c r="A23" s="11"/>
    </row>
    <row r="24" spans="1:2" x14ac:dyDescent="0.25">
      <c r="A24" s="11"/>
    </row>
    <row r="25" spans="1:2" x14ac:dyDescent="0.25">
      <c r="A25" s="11"/>
    </row>
    <row r="26" spans="1:2" x14ac:dyDescent="0.25">
      <c r="A26" s="11"/>
    </row>
    <row r="27" spans="1:2" x14ac:dyDescent="0.25">
      <c r="A27" s="11"/>
    </row>
    <row r="28" spans="1:2" x14ac:dyDescent="0.25">
      <c r="A28" s="11"/>
    </row>
    <row r="29" spans="1:2" x14ac:dyDescent="0.25">
      <c r="A29" s="11"/>
    </row>
  </sheetData>
  <pageMargins left="0.74803149606299213" right="0.74803149606299213" top="0.98425196850393704" bottom="0.98425196850393704" header="0.51181102362204722" footer="0.51181102362204722"/>
  <pageSetup paperSize="9" scale="65" fitToWidth="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719E-7999-4533-BB49-EF5ADE47FF88}">
  <dimension ref="A1:A19"/>
  <sheetViews>
    <sheetView workbookViewId="0">
      <selection activeCell="A19" sqref="A19"/>
    </sheetView>
  </sheetViews>
  <sheetFormatPr defaultRowHeight="15.75" x14ac:dyDescent="0.25"/>
  <cols>
    <col min="1" max="1" width="255.5" customWidth="1"/>
  </cols>
  <sheetData>
    <row r="1" spans="1:1" x14ac:dyDescent="0.25">
      <c r="A1" s="18" t="s">
        <v>433</v>
      </c>
    </row>
    <row r="2" spans="1:1" x14ac:dyDescent="0.25">
      <c r="A2" s="18"/>
    </row>
    <row r="3" spans="1:1" ht="31.5" x14ac:dyDescent="0.25">
      <c r="A3" s="6" t="s">
        <v>255</v>
      </c>
    </row>
    <row r="4" spans="1:1" x14ac:dyDescent="0.25">
      <c r="A4" s="6"/>
    </row>
    <row r="5" spans="1:1" x14ac:dyDescent="0.25">
      <c r="A5" s="6" t="s">
        <v>434</v>
      </c>
    </row>
    <row r="6" spans="1:1" x14ac:dyDescent="0.25">
      <c r="A6" s="6"/>
    </row>
    <row r="7" spans="1:1" x14ac:dyDescent="0.25">
      <c r="A7" s="6" t="s">
        <v>275</v>
      </c>
    </row>
    <row r="8" spans="1:1" x14ac:dyDescent="0.25">
      <c r="A8" s="6"/>
    </row>
    <row r="9" spans="1:1" x14ac:dyDescent="0.25">
      <c r="A9" s="6" t="s">
        <v>254</v>
      </c>
    </row>
    <row r="10" spans="1:1" x14ac:dyDescent="0.25">
      <c r="A10" s="6"/>
    </row>
    <row r="11" spans="1:1" x14ac:dyDescent="0.25">
      <c r="A11" s="6" t="s">
        <v>256</v>
      </c>
    </row>
    <row r="12" spans="1:1" x14ac:dyDescent="0.25">
      <c r="A12" s="6"/>
    </row>
    <row r="13" spans="1:1" ht="33" customHeight="1" x14ac:dyDescent="0.25">
      <c r="A13" s="32" t="s">
        <v>1013</v>
      </c>
    </row>
    <row r="14" spans="1:1" x14ac:dyDescent="0.25">
      <c r="A14" s="6"/>
    </row>
    <row r="15" spans="1:1" x14ac:dyDescent="0.25">
      <c r="A15" s="6" t="s">
        <v>281</v>
      </c>
    </row>
    <row r="16" spans="1:1" x14ac:dyDescent="0.25">
      <c r="A16" s="6"/>
    </row>
    <row r="17" spans="1:1" x14ac:dyDescent="0.25">
      <c r="A17" s="6" t="s">
        <v>1012</v>
      </c>
    </row>
    <row r="19" spans="1:1" x14ac:dyDescent="0.25">
      <c r="A19" t="s">
        <v>1147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6DC5D-7617-4784-8511-2DD672A7F654}">
  <dimension ref="A1:B33"/>
  <sheetViews>
    <sheetView topLeftCell="A12" workbookViewId="0">
      <selection activeCell="A18" sqref="A18:A21"/>
    </sheetView>
  </sheetViews>
  <sheetFormatPr defaultRowHeight="15.75" x14ac:dyDescent="0.25"/>
  <cols>
    <col min="1" max="1" width="134.625" customWidth="1"/>
    <col min="2" max="2" width="109" style="6" customWidth="1"/>
  </cols>
  <sheetData>
    <row r="1" spans="1:2" s="6" customFormat="1" x14ac:dyDescent="0.25">
      <c r="A1" s="28" t="s">
        <v>253</v>
      </c>
      <c r="B1" s="27" t="s">
        <v>471</v>
      </c>
    </row>
    <row r="2" spans="1:2" s="6" customFormat="1" ht="18.600000000000001" customHeight="1" x14ac:dyDescent="0.25">
      <c r="A2" s="24" t="s">
        <v>980</v>
      </c>
      <c r="B2" s="25" t="s">
        <v>779</v>
      </c>
    </row>
    <row r="3" spans="1:2" s="6" customFormat="1" x14ac:dyDescent="0.25">
      <c r="A3" s="24" t="s">
        <v>970</v>
      </c>
      <c r="B3" s="25" t="s">
        <v>472</v>
      </c>
    </row>
    <row r="4" spans="1:2" s="6" customFormat="1" ht="19.5" customHeight="1" x14ac:dyDescent="0.25">
      <c r="A4" s="24" t="s">
        <v>979</v>
      </c>
      <c r="B4" s="25" t="s">
        <v>473</v>
      </c>
    </row>
    <row r="5" spans="1:2" s="6" customFormat="1" x14ac:dyDescent="0.25">
      <c r="A5" s="24" t="s">
        <v>981</v>
      </c>
      <c r="B5" s="25" t="s">
        <v>474</v>
      </c>
    </row>
    <row r="6" spans="1:2" s="6" customFormat="1" x14ac:dyDescent="0.25">
      <c r="A6" s="24" t="s">
        <v>982</v>
      </c>
      <c r="B6" s="25" t="s">
        <v>475</v>
      </c>
    </row>
    <row r="7" spans="1:2" s="6" customFormat="1" x14ac:dyDescent="0.25">
      <c r="A7" s="24" t="s">
        <v>983</v>
      </c>
      <c r="B7" s="25" t="s">
        <v>476</v>
      </c>
    </row>
    <row r="8" spans="1:2" s="6" customFormat="1" x14ac:dyDescent="0.25">
      <c r="A8" s="24" t="s">
        <v>1021</v>
      </c>
      <c r="B8" s="25"/>
    </row>
    <row r="9" spans="1:2" s="6" customFormat="1" x14ac:dyDescent="0.25">
      <c r="A9" s="24" t="s">
        <v>957</v>
      </c>
      <c r="B9" s="25" t="s">
        <v>673</v>
      </c>
    </row>
    <row r="10" spans="1:2" x14ac:dyDescent="0.25">
      <c r="A10" s="24" t="s">
        <v>1118</v>
      </c>
      <c r="B10" s="25" t="s">
        <v>711</v>
      </c>
    </row>
    <row r="11" spans="1:2" s="26" customFormat="1" x14ac:dyDescent="0.25">
      <c r="A11" s="24" t="s">
        <v>1044</v>
      </c>
      <c r="B11" s="25" t="s">
        <v>723</v>
      </c>
    </row>
    <row r="12" spans="1:2" ht="31.5" x14ac:dyDescent="0.25">
      <c r="A12" s="24" t="s">
        <v>1141</v>
      </c>
      <c r="B12" s="38" t="s">
        <v>822</v>
      </c>
    </row>
    <row r="13" spans="1:2" x14ac:dyDescent="0.25">
      <c r="A13" s="24" t="s">
        <v>1051</v>
      </c>
      <c r="B13" s="42" t="s">
        <v>1052</v>
      </c>
    </row>
    <row r="14" spans="1:2" ht="78.75" x14ac:dyDescent="0.25">
      <c r="A14" s="24" t="s">
        <v>1045</v>
      </c>
      <c r="B14" s="38" t="s">
        <v>882</v>
      </c>
    </row>
    <row r="15" spans="1:2" ht="30" x14ac:dyDescent="0.25">
      <c r="A15" s="24" t="s">
        <v>1046</v>
      </c>
      <c r="B15" s="38" t="s">
        <v>1063</v>
      </c>
    </row>
    <row r="16" spans="1:2" x14ac:dyDescent="0.25">
      <c r="A16" s="62" t="s">
        <v>1148</v>
      </c>
      <c r="B16" s="63" t="s">
        <v>1142</v>
      </c>
    </row>
    <row r="17" spans="1:2" x14ac:dyDescent="0.25">
      <c r="A17" s="60"/>
      <c r="B17" s="61"/>
    </row>
    <row r="19" spans="1:2" x14ac:dyDescent="0.25">
      <c r="A19" s="60"/>
    </row>
    <row r="20" spans="1:2" ht="18.95" customHeight="1" x14ac:dyDescent="0.25">
      <c r="A20" s="60"/>
    </row>
    <row r="21" spans="1:2" ht="18.75" x14ac:dyDescent="0.3">
      <c r="A21" s="68"/>
    </row>
    <row r="33" spans="2:2" ht="18.75" x14ac:dyDescent="0.3">
      <c r="B33" s="57"/>
    </row>
  </sheetData>
  <hyperlinks>
    <hyperlink ref="B7" r:id="rId1" xr:uid="{AFA29066-9A5D-40A5-97EA-632BB35BBEDB}"/>
    <hyperlink ref="B2" r:id="rId2" xr:uid="{1122A847-20D3-46D5-9666-9A3AC44272D2}"/>
    <hyperlink ref="B3" r:id="rId3" xr:uid="{F6707A49-AE16-4520-BA4F-B79B77DBC73E}"/>
    <hyperlink ref="B4" r:id="rId4" xr:uid="{971BB09D-4779-4399-B16D-483B0D0441AB}"/>
    <hyperlink ref="B5" r:id="rId5" xr:uid="{79B824E4-BC9B-4F8B-A146-821F44891B4F}"/>
    <hyperlink ref="B6" r:id="rId6" xr:uid="{5472C7EE-8143-4FA4-A498-E78536759FCE}"/>
    <hyperlink ref="B9" r:id="rId7" xr:uid="{C03F6DFB-8666-4D1A-9699-E36190B0E9A5}"/>
    <hyperlink ref="B10" r:id="rId8" xr:uid="{33CEB2A8-D25B-45CD-8D7C-C0EF16FAD757}"/>
    <hyperlink ref="B11" r:id="rId9" xr:uid="{BD9FA09B-4B43-4A7B-80CF-F4326FA7FD7A}"/>
    <hyperlink ref="B12" r:id="rId10" location=":~:text=Divide%20the%20mass%20of%20the,GWP%20=%2039.2%20tonnes%20CO2%20equivalent." xr:uid="{2544B6D9-DEC8-4D52-9FC2-6F072766AE8E}"/>
    <hyperlink ref="B14" r:id="rId11" display="https://www.hpra.ie/find-a-medicine/for-human-use/authorised-medicines?data=eyJpZCI6bnVsbCwic2tpcCI6MCwidGFrZSI6MTAsInF1ZXJ5IjoiYWlyZmx1c2FsIiwib3JkZXIiOiJMYXN0VXBkYXRlZCBERVNDIiwic3RhdHVzIjoiQXV0aG9yaXNlZCIsImZpbHRlcnMiOnsiZnJvbSI6bnVsbCwidG8iOm51bGwsInJvdXRlcyI6bnVsbCwicGxhY2VPZlNhbGUiOm51bGwsImFkdmVydGlzaW5nQ29uZGl0aW9ucyI6bnVsbCwibWFya2V0aW5nQXZhaWxhYmlsaXR5IjpudWxsLCJhdGNDb2RlIjpudWxsLCJtZWRpY2luZVR5cGUiOm51bGx9fQ%3D%3D " xr:uid="{90D80C74-F9F5-42C4-9842-E7D2ADB4DB85}"/>
    <hyperlink ref="B15" r:id="rId12" xr:uid="{E5412231-D9A5-480B-9F28-F9927F31307B}"/>
    <hyperlink ref="B16" r:id="rId13" xr:uid="{2523B9FA-1EA7-4DC5-8B54-A3A5741610F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1FBB-9D6B-4AF3-AC9C-4558FCE65170}">
  <dimension ref="A1:B212"/>
  <sheetViews>
    <sheetView topLeftCell="A189" workbookViewId="0">
      <selection activeCell="A211" sqref="A211"/>
    </sheetView>
  </sheetViews>
  <sheetFormatPr defaultRowHeight="15.75" x14ac:dyDescent="0.25"/>
  <cols>
    <col min="1" max="1" width="186.5" customWidth="1"/>
    <col min="2" max="2" width="24.125" bestFit="1" customWidth="1"/>
  </cols>
  <sheetData>
    <row r="1" spans="1:1" x14ac:dyDescent="0.25">
      <c r="A1" s="19" t="s">
        <v>507</v>
      </c>
    </row>
    <row r="2" spans="1:1" x14ac:dyDescent="0.25">
      <c r="A2" t="s">
        <v>508</v>
      </c>
    </row>
    <row r="3" spans="1:1" x14ac:dyDescent="0.25">
      <c r="A3" t="s">
        <v>511</v>
      </c>
    </row>
    <row r="4" spans="1:1" x14ac:dyDescent="0.25">
      <c r="A4" t="s">
        <v>509</v>
      </c>
    </row>
    <row r="5" spans="1:1" x14ac:dyDescent="0.25">
      <c r="A5" s="19" t="s">
        <v>510</v>
      </c>
    </row>
    <row r="6" spans="1:1" x14ac:dyDescent="0.25">
      <c r="A6" t="s">
        <v>512</v>
      </c>
    </row>
    <row r="7" spans="1:1" x14ac:dyDescent="0.25">
      <c r="A7" s="19" t="s">
        <v>527</v>
      </c>
    </row>
    <row r="8" spans="1:1" x14ac:dyDescent="0.25">
      <c r="A8" t="s">
        <v>526</v>
      </c>
    </row>
    <row r="9" spans="1:1" x14ac:dyDescent="0.25">
      <c r="A9" t="s">
        <v>513</v>
      </c>
    </row>
    <row r="10" spans="1:1" x14ac:dyDescent="0.25">
      <c r="A10" t="s">
        <v>515</v>
      </c>
    </row>
    <row r="11" spans="1:1" x14ac:dyDescent="0.25">
      <c r="A11" t="s">
        <v>518</v>
      </c>
    </row>
    <row r="12" spans="1:1" x14ac:dyDescent="0.25">
      <c r="A12" t="s">
        <v>514</v>
      </c>
    </row>
    <row r="13" spans="1:1" x14ac:dyDescent="0.25">
      <c r="A13" t="s">
        <v>516</v>
      </c>
    </row>
    <row r="14" spans="1:1" x14ac:dyDescent="0.25">
      <c r="A14" t="s">
        <v>517</v>
      </c>
    </row>
    <row r="15" spans="1:1" x14ac:dyDescent="0.25">
      <c r="A15" t="s">
        <v>519</v>
      </c>
    </row>
    <row r="16" spans="1:1" x14ac:dyDescent="0.25">
      <c r="A16" t="s">
        <v>520</v>
      </c>
    </row>
    <row r="17" spans="1:1" x14ac:dyDescent="0.25">
      <c r="A17" s="19" t="s">
        <v>523</v>
      </c>
    </row>
    <row r="18" spans="1:1" x14ac:dyDescent="0.25">
      <c r="A18" t="s">
        <v>528</v>
      </c>
    </row>
    <row r="19" spans="1:1" x14ac:dyDescent="0.25">
      <c r="A19" s="19" t="s">
        <v>522</v>
      </c>
    </row>
    <row r="20" spans="1:1" x14ac:dyDescent="0.25">
      <c r="A20" t="s">
        <v>521</v>
      </c>
    </row>
    <row r="21" spans="1:1" x14ac:dyDescent="0.25">
      <c r="A21" s="19" t="s">
        <v>499</v>
      </c>
    </row>
    <row r="22" spans="1:1" x14ac:dyDescent="0.25">
      <c r="A22" t="s">
        <v>525</v>
      </c>
    </row>
    <row r="23" spans="1:1" x14ac:dyDescent="0.25">
      <c r="A23" t="s">
        <v>500</v>
      </c>
    </row>
    <row r="24" spans="1:1" x14ac:dyDescent="0.25">
      <c r="A24" s="19" t="s">
        <v>529</v>
      </c>
    </row>
    <row r="25" spans="1:1" x14ac:dyDescent="0.25">
      <c r="A25" t="s">
        <v>524</v>
      </c>
    </row>
    <row r="26" spans="1:1" x14ac:dyDescent="0.25">
      <c r="A26" t="s">
        <v>535</v>
      </c>
    </row>
    <row r="27" spans="1:1" x14ac:dyDescent="0.25">
      <c r="A27" t="s">
        <v>531</v>
      </c>
    </row>
    <row r="28" spans="1:1" x14ac:dyDescent="0.25">
      <c r="A28" t="s">
        <v>532</v>
      </c>
    </row>
    <row r="29" spans="1:1" x14ac:dyDescent="0.25">
      <c r="A29" s="19" t="s">
        <v>533</v>
      </c>
    </row>
    <row r="30" spans="1:1" x14ac:dyDescent="0.25">
      <c r="A30" t="s">
        <v>534</v>
      </c>
    </row>
    <row r="31" spans="1:1" x14ac:dyDescent="0.25">
      <c r="A31" t="s">
        <v>536</v>
      </c>
    </row>
    <row r="33" spans="1:2" x14ac:dyDescent="0.25">
      <c r="A33" s="19" t="s">
        <v>537</v>
      </c>
    </row>
    <row r="34" spans="1:2" x14ac:dyDescent="0.25">
      <c r="A34" t="s">
        <v>541</v>
      </c>
    </row>
    <row r="35" spans="1:2" x14ac:dyDescent="0.25">
      <c r="A35" t="s">
        <v>538</v>
      </c>
    </row>
    <row r="36" spans="1:2" x14ac:dyDescent="0.25">
      <c r="A36" t="s">
        <v>539</v>
      </c>
    </row>
    <row r="38" spans="1:2" x14ac:dyDescent="0.25">
      <c r="A38" s="19" t="s">
        <v>579</v>
      </c>
    </row>
    <row r="39" spans="1:2" x14ac:dyDescent="0.25">
      <c r="A39" t="s">
        <v>558</v>
      </c>
    </row>
    <row r="40" spans="1:2" x14ac:dyDescent="0.25">
      <c r="A40" s="19" t="s">
        <v>557</v>
      </c>
    </row>
    <row r="41" spans="1:2" x14ac:dyDescent="0.25">
      <c r="A41" t="s">
        <v>554</v>
      </c>
      <c r="B41" s="20" t="s">
        <v>576</v>
      </c>
    </row>
    <row r="42" spans="1:2" x14ac:dyDescent="0.25">
      <c r="A42" t="s">
        <v>29</v>
      </c>
      <c r="B42" s="20" t="s">
        <v>543</v>
      </c>
    </row>
    <row r="43" spans="1:2" x14ac:dyDescent="0.25">
      <c r="A43" t="s">
        <v>365</v>
      </c>
      <c r="B43" s="20" t="s">
        <v>194</v>
      </c>
    </row>
    <row r="44" spans="1:2" x14ac:dyDescent="0.25">
      <c r="A44" t="s">
        <v>479</v>
      </c>
      <c r="B44" s="20" t="s">
        <v>545</v>
      </c>
    </row>
    <row r="45" spans="1:2" x14ac:dyDescent="0.25">
      <c r="A45" t="s">
        <v>102</v>
      </c>
      <c r="B45" s="20" t="s">
        <v>546</v>
      </c>
    </row>
    <row r="46" spans="1:2" x14ac:dyDescent="0.25">
      <c r="A46" t="s">
        <v>99</v>
      </c>
      <c r="B46" s="20" t="s">
        <v>547</v>
      </c>
    </row>
    <row r="47" spans="1:2" x14ac:dyDescent="0.25">
      <c r="A47" t="s">
        <v>375</v>
      </c>
      <c r="B47" s="20" t="s">
        <v>555</v>
      </c>
    </row>
    <row r="48" spans="1:2" x14ac:dyDescent="0.25">
      <c r="A48" t="s">
        <v>482</v>
      </c>
      <c r="B48" s="20" t="s">
        <v>549</v>
      </c>
    </row>
    <row r="49" spans="1:2" x14ac:dyDescent="0.25">
      <c r="A49" t="s">
        <v>300</v>
      </c>
      <c r="B49" s="20" t="s">
        <v>550</v>
      </c>
    </row>
    <row r="50" spans="1:2" x14ac:dyDescent="0.25">
      <c r="A50" t="s">
        <v>556</v>
      </c>
      <c r="B50" s="21" t="s">
        <v>551</v>
      </c>
    </row>
    <row r="51" spans="1:2" x14ac:dyDescent="0.25">
      <c r="A51" t="s">
        <v>144</v>
      </c>
      <c r="B51" s="21" t="s">
        <v>552</v>
      </c>
    </row>
    <row r="52" spans="1:2" x14ac:dyDescent="0.25">
      <c r="A52" t="s">
        <v>553</v>
      </c>
    </row>
    <row r="53" spans="1:2" x14ac:dyDescent="0.25">
      <c r="A53" s="19" t="s">
        <v>559</v>
      </c>
    </row>
    <row r="54" spans="1:2" x14ac:dyDescent="0.25">
      <c r="A54" t="s">
        <v>560</v>
      </c>
    </row>
    <row r="55" spans="1:2" x14ac:dyDescent="0.25">
      <c r="A55" t="s">
        <v>563</v>
      </c>
    </row>
    <row r="56" spans="1:2" x14ac:dyDescent="0.25">
      <c r="A56" t="s">
        <v>561</v>
      </c>
    </row>
    <row r="57" spans="1:2" x14ac:dyDescent="0.25">
      <c r="A57" t="s">
        <v>562</v>
      </c>
    </row>
    <row r="58" spans="1:2" x14ac:dyDescent="0.25">
      <c r="A58" t="s">
        <v>575</v>
      </c>
    </row>
    <row r="59" spans="1:2" x14ac:dyDescent="0.25">
      <c r="A59" t="s">
        <v>564</v>
      </c>
    </row>
    <row r="60" spans="1:2" x14ac:dyDescent="0.25">
      <c r="A60" t="s">
        <v>565</v>
      </c>
    </row>
    <row r="61" spans="1:2" x14ac:dyDescent="0.25">
      <c r="A61" t="s">
        <v>566</v>
      </c>
    </row>
    <row r="62" spans="1:2" x14ac:dyDescent="0.25">
      <c r="A62" t="s">
        <v>567</v>
      </c>
    </row>
    <row r="63" spans="1:2" x14ac:dyDescent="0.25">
      <c r="A63" t="s">
        <v>568</v>
      </c>
    </row>
    <row r="64" spans="1:2" x14ac:dyDescent="0.25">
      <c r="A64" t="s">
        <v>569</v>
      </c>
    </row>
    <row r="65" spans="1:1" x14ac:dyDescent="0.25">
      <c r="A65" t="s">
        <v>570</v>
      </c>
    </row>
    <row r="66" spans="1:1" x14ac:dyDescent="0.25">
      <c r="A66" t="s">
        <v>571</v>
      </c>
    </row>
    <row r="67" spans="1:1" x14ac:dyDescent="0.25">
      <c r="A67" t="s">
        <v>572</v>
      </c>
    </row>
    <row r="68" spans="1:1" x14ac:dyDescent="0.25">
      <c r="A68" t="s">
        <v>573</v>
      </c>
    </row>
    <row r="69" spans="1:1" x14ac:dyDescent="0.25">
      <c r="A69" t="s">
        <v>574</v>
      </c>
    </row>
    <row r="70" spans="1:1" x14ac:dyDescent="0.25">
      <c r="A70" t="s">
        <v>577</v>
      </c>
    </row>
    <row r="72" spans="1:1" x14ac:dyDescent="0.25">
      <c r="A72" s="19" t="s">
        <v>580</v>
      </c>
    </row>
    <row r="73" spans="1:1" x14ac:dyDescent="0.25">
      <c r="A73" t="s">
        <v>581</v>
      </c>
    </row>
    <row r="74" spans="1:1" x14ac:dyDescent="0.25">
      <c r="A74" t="s">
        <v>582</v>
      </c>
    </row>
    <row r="75" spans="1:1" x14ac:dyDescent="0.25">
      <c r="A75" t="s">
        <v>583</v>
      </c>
    </row>
    <row r="76" spans="1:1" x14ac:dyDescent="0.25">
      <c r="A76" t="s">
        <v>584</v>
      </c>
    </row>
    <row r="77" spans="1:1" x14ac:dyDescent="0.25">
      <c r="A77" s="6" t="s">
        <v>588</v>
      </c>
    </row>
    <row r="78" spans="1:1" x14ac:dyDescent="0.25">
      <c r="A78" s="6" t="s">
        <v>586</v>
      </c>
    </row>
    <row r="79" spans="1:1" x14ac:dyDescent="0.25">
      <c r="A79" t="s">
        <v>589</v>
      </c>
    </row>
    <row r="81" spans="1:1" x14ac:dyDescent="0.25">
      <c r="A81" s="19" t="s">
        <v>590</v>
      </c>
    </row>
    <row r="82" spans="1:1" x14ac:dyDescent="0.25">
      <c r="A82" t="s">
        <v>599</v>
      </c>
    </row>
    <row r="83" spans="1:1" x14ac:dyDescent="0.25">
      <c r="A83" t="s">
        <v>598</v>
      </c>
    </row>
    <row r="85" spans="1:1" x14ac:dyDescent="0.25">
      <c r="A85" s="19" t="s">
        <v>600</v>
      </c>
    </row>
    <row r="86" spans="1:1" x14ac:dyDescent="0.25">
      <c r="A86" t="s">
        <v>601</v>
      </c>
    </row>
    <row r="88" spans="1:1" x14ac:dyDescent="0.25">
      <c r="A88" s="19" t="s">
        <v>603</v>
      </c>
    </row>
    <row r="89" spans="1:1" x14ac:dyDescent="0.25">
      <c r="A89" t="s">
        <v>604</v>
      </c>
    </row>
    <row r="90" spans="1:1" x14ac:dyDescent="0.25">
      <c r="A90" t="s">
        <v>605</v>
      </c>
    </row>
    <row r="91" spans="1:1" x14ac:dyDescent="0.25">
      <c r="A91" t="s">
        <v>610</v>
      </c>
    </row>
    <row r="92" spans="1:1" x14ac:dyDescent="0.25">
      <c r="A92" t="s">
        <v>606</v>
      </c>
    </row>
    <row r="93" spans="1:1" x14ac:dyDescent="0.25">
      <c r="A93" t="s">
        <v>607</v>
      </c>
    </row>
    <row r="94" spans="1:1" x14ac:dyDescent="0.25">
      <c r="A94" t="s">
        <v>608</v>
      </c>
    </row>
    <row r="95" spans="1:1" x14ac:dyDescent="0.25">
      <c r="A95" t="s">
        <v>609</v>
      </c>
    </row>
    <row r="97" spans="1:1" x14ac:dyDescent="0.25">
      <c r="A97" s="19" t="s">
        <v>611</v>
      </c>
    </row>
    <row r="98" spans="1:1" x14ac:dyDescent="0.25">
      <c r="A98" t="s">
        <v>612</v>
      </c>
    </row>
    <row r="100" spans="1:1" x14ac:dyDescent="0.25">
      <c r="A100" s="19" t="s">
        <v>613</v>
      </c>
    </row>
    <row r="101" spans="1:1" x14ac:dyDescent="0.25">
      <c r="A101" t="s">
        <v>615</v>
      </c>
    </row>
    <row r="102" spans="1:1" x14ac:dyDescent="0.25">
      <c r="A102" t="s">
        <v>614</v>
      </c>
    </row>
    <row r="103" spans="1:1" x14ac:dyDescent="0.25">
      <c r="A103" t="s">
        <v>621</v>
      </c>
    </row>
    <row r="104" spans="1:1" x14ac:dyDescent="0.25">
      <c r="A104" t="s">
        <v>625</v>
      </c>
    </row>
    <row r="106" spans="1:1" x14ac:dyDescent="0.25">
      <c r="A106" s="19" t="s">
        <v>626</v>
      </c>
    </row>
    <row r="107" spans="1:1" x14ac:dyDescent="0.25">
      <c r="A107" t="s">
        <v>627</v>
      </c>
    </row>
    <row r="109" spans="1:1" x14ac:dyDescent="0.25">
      <c r="A109" s="19" t="s">
        <v>628</v>
      </c>
    </row>
    <row r="110" spans="1:1" x14ac:dyDescent="0.25">
      <c r="A110" t="s">
        <v>629</v>
      </c>
    </row>
    <row r="112" spans="1:1" x14ac:dyDescent="0.25">
      <c r="A112" s="19" t="s">
        <v>640</v>
      </c>
    </row>
    <row r="113" spans="1:1" x14ac:dyDescent="0.25">
      <c r="A113" t="s">
        <v>641</v>
      </c>
    </row>
    <row r="115" spans="1:1" x14ac:dyDescent="0.25">
      <c r="A115" s="19" t="s">
        <v>642</v>
      </c>
    </row>
    <row r="116" spans="1:1" x14ac:dyDescent="0.25">
      <c r="A116" t="s">
        <v>643</v>
      </c>
    </row>
    <row r="118" spans="1:1" x14ac:dyDescent="0.25">
      <c r="A118" s="19" t="s">
        <v>644</v>
      </c>
    </row>
    <row r="119" spans="1:1" x14ac:dyDescent="0.25">
      <c r="A119" t="s">
        <v>649</v>
      </c>
    </row>
    <row r="120" spans="1:1" x14ac:dyDescent="0.25">
      <c r="A120" t="s">
        <v>650</v>
      </c>
    </row>
    <row r="121" spans="1:1" x14ac:dyDescent="0.25">
      <c r="A121" t="s">
        <v>651</v>
      </c>
    </row>
    <row r="123" spans="1:1" x14ac:dyDescent="0.25">
      <c r="A123" s="19" t="s">
        <v>652</v>
      </c>
    </row>
    <row r="124" spans="1:1" x14ac:dyDescent="0.25">
      <c r="A124" t="s">
        <v>653</v>
      </c>
    </row>
    <row r="125" spans="1:1" x14ac:dyDescent="0.25">
      <c r="A125" t="s">
        <v>654</v>
      </c>
    </row>
    <row r="127" spans="1:1" x14ac:dyDescent="0.25">
      <c r="A127" s="19" t="s">
        <v>656</v>
      </c>
    </row>
    <row r="128" spans="1:1" x14ac:dyDescent="0.25">
      <c r="A128" t="s">
        <v>657</v>
      </c>
    </row>
    <row r="130" spans="1:1" x14ac:dyDescent="0.25">
      <c r="A130" s="19" t="s">
        <v>658</v>
      </c>
    </row>
    <row r="131" spans="1:1" x14ac:dyDescent="0.25">
      <c r="A131" t="s">
        <v>659</v>
      </c>
    </row>
    <row r="133" spans="1:1" x14ac:dyDescent="0.25">
      <c r="A133" s="19" t="s">
        <v>660</v>
      </c>
    </row>
    <row r="134" spans="1:1" x14ac:dyDescent="0.25">
      <c r="A134" t="s">
        <v>661</v>
      </c>
    </row>
    <row r="136" spans="1:1" x14ac:dyDescent="0.25">
      <c r="A136" s="19" t="s">
        <v>663</v>
      </c>
    </row>
    <row r="137" spans="1:1" ht="31.5" x14ac:dyDescent="0.25">
      <c r="A137" s="6" t="s">
        <v>664</v>
      </c>
    </row>
    <row r="138" spans="1:1" x14ac:dyDescent="0.25">
      <c r="A138" t="s">
        <v>665</v>
      </c>
    </row>
    <row r="140" spans="1:1" x14ac:dyDescent="0.25">
      <c r="A140" s="19" t="s">
        <v>666</v>
      </c>
    </row>
    <row r="141" spans="1:1" x14ac:dyDescent="0.25">
      <c r="A141" t="s">
        <v>667</v>
      </c>
    </row>
    <row r="143" spans="1:1" x14ac:dyDescent="0.25">
      <c r="A143" s="19" t="s">
        <v>668</v>
      </c>
    </row>
    <row r="144" spans="1:1" x14ac:dyDescent="0.25">
      <c r="A144" t="s">
        <v>669</v>
      </c>
    </row>
    <row r="145" spans="1:1" x14ac:dyDescent="0.25">
      <c r="A145" t="s">
        <v>670</v>
      </c>
    </row>
    <row r="146" spans="1:1" x14ac:dyDescent="0.25">
      <c r="A146" t="s">
        <v>671</v>
      </c>
    </row>
    <row r="147" spans="1:1" x14ac:dyDescent="0.25">
      <c r="A147" t="s">
        <v>672</v>
      </c>
    </row>
    <row r="149" spans="1:1" x14ac:dyDescent="0.25">
      <c r="A149" s="19" t="s">
        <v>676</v>
      </c>
    </row>
    <row r="150" spans="1:1" x14ac:dyDescent="0.25">
      <c r="A150" t="s">
        <v>674</v>
      </c>
    </row>
    <row r="152" spans="1:1" x14ac:dyDescent="0.25">
      <c r="A152" s="19" t="s">
        <v>675</v>
      </c>
    </row>
    <row r="153" spans="1:1" ht="31.5" x14ac:dyDescent="0.25">
      <c r="A153" s="6" t="s">
        <v>677</v>
      </c>
    </row>
    <row r="155" spans="1:1" x14ac:dyDescent="0.25">
      <c r="A155" s="19" t="s">
        <v>679</v>
      </c>
    </row>
    <row r="156" spans="1:1" ht="60" x14ac:dyDescent="0.25">
      <c r="A156" s="22" t="s">
        <v>680</v>
      </c>
    </row>
    <row r="157" spans="1:1" x14ac:dyDescent="0.25">
      <c r="A157" s="22"/>
    </row>
    <row r="158" spans="1:1" x14ac:dyDescent="0.25">
      <c r="A158" s="23" t="s">
        <v>681</v>
      </c>
    </row>
    <row r="159" spans="1:1" x14ac:dyDescent="0.25">
      <c r="A159" s="22" t="s">
        <v>682</v>
      </c>
    </row>
    <row r="160" spans="1:1" ht="30" x14ac:dyDescent="0.25">
      <c r="A160" s="22" t="s">
        <v>683</v>
      </c>
    </row>
    <row r="162" spans="1:1" x14ac:dyDescent="0.25">
      <c r="A162" s="23" t="s">
        <v>688</v>
      </c>
    </row>
    <row r="163" spans="1:1" x14ac:dyDescent="0.25">
      <c r="A163" t="s">
        <v>689</v>
      </c>
    </row>
    <row r="164" spans="1:1" x14ac:dyDescent="0.25">
      <c r="A164" t="s">
        <v>690</v>
      </c>
    </row>
    <row r="165" spans="1:1" x14ac:dyDescent="0.25">
      <c r="A165" t="s">
        <v>691</v>
      </c>
    </row>
    <row r="167" spans="1:1" x14ac:dyDescent="0.25">
      <c r="A167" s="19" t="s">
        <v>692</v>
      </c>
    </row>
    <row r="168" spans="1:1" x14ac:dyDescent="0.25">
      <c r="A168" t="s">
        <v>775</v>
      </c>
    </row>
    <row r="169" spans="1:1" x14ac:dyDescent="0.25">
      <c r="A169" t="s">
        <v>693</v>
      </c>
    </row>
    <row r="170" spans="1:1" x14ac:dyDescent="0.25">
      <c r="A170" t="s">
        <v>697</v>
      </c>
    </row>
    <row r="171" spans="1:1" x14ac:dyDescent="0.25">
      <c r="A171" t="s">
        <v>696</v>
      </c>
    </row>
    <row r="172" spans="1:1" x14ac:dyDescent="0.25">
      <c r="A172" t="s">
        <v>695</v>
      </c>
    </row>
    <row r="173" spans="1:1" ht="50.25" customHeight="1" x14ac:dyDescent="0.25">
      <c r="A173" s="6" t="s">
        <v>712</v>
      </c>
    </row>
    <row r="174" spans="1:1" ht="31.5" x14ac:dyDescent="0.25">
      <c r="A174" s="6" t="s">
        <v>713</v>
      </c>
    </row>
    <row r="175" spans="1:1" x14ac:dyDescent="0.25">
      <c r="A175" t="s">
        <v>776</v>
      </c>
    </row>
    <row r="176" spans="1:1" x14ac:dyDescent="0.25">
      <c r="A176" t="s">
        <v>737</v>
      </c>
    </row>
    <row r="177" spans="1:1" x14ac:dyDescent="0.25">
      <c r="A177" t="s">
        <v>771</v>
      </c>
    </row>
    <row r="178" spans="1:1" x14ac:dyDescent="0.25">
      <c r="A178" t="s">
        <v>774</v>
      </c>
    </row>
    <row r="180" spans="1:1" x14ac:dyDescent="0.25">
      <c r="A180" s="53" t="s">
        <v>1067</v>
      </c>
    </row>
    <row r="181" spans="1:1" x14ac:dyDescent="0.25">
      <c r="A181" t="s">
        <v>1136</v>
      </c>
    </row>
    <row r="182" spans="1:1" x14ac:dyDescent="0.25">
      <c r="A182" t="s">
        <v>883</v>
      </c>
    </row>
    <row r="183" spans="1:1" x14ac:dyDescent="0.25">
      <c r="A183" t="s">
        <v>1113</v>
      </c>
    </row>
    <row r="184" spans="1:1" x14ac:dyDescent="0.25">
      <c r="A184" t="s">
        <v>1130</v>
      </c>
    </row>
    <row r="185" spans="1:1" x14ac:dyDescent="0.25">
      <c r="A185" t="s">
        <v>893</v>
      </c>
    </row>
    <row r="186" spans="1:1" x14ac:dyDescent="0.25">
      <c r="A186" t="s">
        <v>959</v>
      </c>
    </row>
    <row r="187" spans="1:1" x14ac:dyDescent="0.25">
      <c r="A187" t="s">
        <v>961</v>
      </c>
    </row>
    <row r="188" spans="1:1" x14ac:dyDescent="0.25">
      <c r="A188" t="s">
        <v>967</v>
      </c>
    </row>
    <row r="189" spans="1:1" x14ac:dyDescent="0.25">
      <c r="A189" t="s">
        <v>994</v>
      </c>
    </row>
    <row r="190" spans="1:1" x14ac:dyDescent="0.25">
      <c r="A190" t="s">
        <v>1135</v>
      </c>
    </row>
    <row r="191" spans="1:1" x14ac:dyDescent="0.25">
      <c r="A191" t="s">
        <v>1015</v>
      </c>
    </row>
    <row r="192" spans="1:1" x14ac:dyDescent="0.25">
      <c r="A192" t="s">
        <v>1057</v>
      </c>
    </row>
    <row r="193" spans="1:1" x14ac:dyDescent="0.25">
      <c r="A193" t="s">
        <v>1020</v>
      </c>
    </row>
    <row r="194" spans="1:1" x14ac:dyDescent="0.25">
      <c r="A194" t="s">
        <v>1053</v>
      </c>
    </row>
    <row r="195" spans="1:1" x14ac:dyDescent="0.25">
      <c r="A195" t="s">
        <v>1055</v>
      </c>
    </row>
    <row r="196" spans="1:1" x14ac:dyDescent="0.25">
      <c r="A196" t="s">
        <v>1116</v>
      </c>
    </row>
    <row r="197" spans="1:1" x14ac:dyDescent="0.25">
      <c r="A197" t="s">
        <v>1127</v>
      </c>
    </row>
    <row r="199" spans="1:1" x14ac:dyDescent="0.25">
      <c r="A199" s="19" t="s">
        <v>1138</v>
      </c>
    </row>
    <row r="200" spans="1:1" x14ac:dyDescent="0.25">
      <c r="A200" t="s">
        <v>1139</v>
      </c>
    </row>
    <row r="202" spans="1:1" x14ac:dyDescent="0.25">
      <c r="A202" s="19" t="s">
        <v>1143</v>
      </c>
    </row>
    <row r="203" spans="1:1" x14ac:dyDescent="0.25">
      <c r="A203" t="s">
        <v>1144</v>
      </c>
    </row>
    <row r="204" spans="1:1" x14ac:dyDescent="0.25">
      <c r="A204" t="s">
        <v>1145</v>
      </c>
    </row>
    <row r="205" spans="1:1" x14ac:dyDescent="0.25">
      <c r="A205" t="s">
        <v>1146</v>
      </c>
    </row>
    <row r="207" spans="1:1" x14ac:dyDescent="0.25">
      <c r="A207" s="19" t="s">
        <v>1163</v>
      </c>
    </row>
    <row r="208" spans="1:1" x14ac:dyDescent="0.25">
      <c r="A208" t="s">
        <v>1165</v>
      </c>
    </row>
    <row r="209" spans="1:1" x14ac:dyDescent="0.25">
      <c r="A209" t="s">
        <v>1169</v>
      </c>
    </row>
    <row r="210" spans="1:1" x14ac:dyDescent="0.25">
      <c r="A210" t="s">
        <v>1177</v>
      </c>
    </row>
    <row r="212" spans="1:1" x14ac:dyDescent="0.25">
      <c r="A212" s="39" t="s">
        <v>1164</v>
      </c>
    </row>
  </sheetData>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Charts</vt:lpstr>
      </vt:variant>
      <vt:variant>
        <vt:i4>1</vt:i4>
      </vt:variant>
    </vt:vector>
  </HeadingPairs>
  <TitlesOfParts>
    <vt:vector size="9" baseType="lpstr">
      <vt:lpstr>Methodology</vt:lpstr>
      <vt:lpstr> Inhaler CF v2.40 full</vt:lpstr>
      <vt:lpstr>Inhaler CF v2.40quick reference</vt:lpstr>
      <vt:lpstr>Propellant weight + AR Calcs</vt:lpstr>
      <vt:lpstr>Non-asthma or COPD inhalers</vt:lpstr>
      <vt:lpstr>Additional information</vt:lpstr>
      <vt:lpstr>References</vt:lpstr>
      <vt:lpstr>Changes log</vt:lpstr>
      <vt:lpstr>ICF value histogram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Homan</dc:creator>
  <cp:lastModifiedBy>Karen Homan</cp:lastModifiedBy>
  <cp:lastPrinted>2025-08-19T15:31:20Z</cp:lastPrinted>
  <dcterms:created xsi:type="dcterms:W3CDTF">2021-06-28T08:20:16Z</dcterms:created>
  <dcterms:modified xsi:type="dcterms:W3CDTF">2026-03-30T11:10:50Z</dcterms:modified>
</cp:coreProperties>
</file>